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G:\Unidades compartidas\Qualitat\EUSES TE\23-24\Marc VSMA\Informe Seguiment\"/>
    </mc:Choice>
  </mc:AlternateContent>
  <xr:revisionPtr revIDLastSave="0" documentId="13_ncr:1_{05AB413C-C210-47E1-90D5-539FD211B629}" xr6:coauthVersionLast="47" xr6:coauthVersionMax="47" xr10:uidLastSave="{00000000-0000-0000-0000-000000000000}"/>
  <bookViews>
    <workbookView xWindow="-20610" yWindow="4485" windowWidth="20730" windowHeight="11040" xr2:uid="{00000000-000D-0000-FFFF-FFFF00000000}"/>
  </bookViews>
  <sheets>
    <sheet name="Presentació" sheetId="1" r:id="rId1"/>
    <sheet name="Estàndard 1" sheetId="2" r:id="rId2"/>
    <sheet name="Estàndard 2" sheetId="10" r:id="rId3"/>
    <sheet name="Estàndard 3" sheetId="4" r:id="rId4"/>
    <sheet name="Estàndard 4" sheetId="5" r:id="rId5"/>
    <sheet name="Estàndard 5" sheetId="6" r:id="rId6"/>
    <sheet name="Estàndard 6" sheetId="7" r:id="rId7"/>
    <sheet name="Taula 42.1 FISIO" sheetId="8" r:id="rId8"/>
    <sheet name="Taula 42.2 CAFE" sheetId="9" r:id="rId9"/>
  </sheets>
  <definedNames>
    <definedName name="_xlnm._FilterDatabase" localSheetId="1" hidden="1">'Estàndard 1'!$A$311:$O$386</definedName>
    <definedName name="_xlnm._FilterDatabase" localSheetId="4" hidden="1">'Estàndard 4'!$A$98:$T$265</definedName>
    <definedName name="_xlnm._FilterDatabase" localSheetId="6" hidden="1">'Estàndard 6'!$X$651:$X$708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67" i="7" l="1"/>
  <c r="M710" i="7"/>
  <c r="F764" i="7"/>
  <c r="F556" i="7" l="1"/>
  <c r="F555" i="7"/>
  <c r="F193" i="6"/>
  <c r="F130" i="6"/>
  <c r="D311" i="7"/>
  <c r="D39" i="7" l="1"/>
  <c r="M80" i="5" l="1"/>
  <c r="M59" i="5"/>
  <c r="L60" i="5"/>
  <c r="L59" i="5"/>
  <c r="L81" i="5"/>
  <c r="L80" i="5"/>
  <c r="L82" i="5" l="1"/>
  <c r="H41" i="5" l="1"/>
  <c r="G41" i="5" s="1"/>
  <c r="E42" i="5"/>
  <c r="D41" i="5"/>
  <c r="I21" i="5" l="1"/>
  <c r="F21" i="5"/>
  <c r="M86" i="5" l="1"/>
  <c r="L87" i="5"/>
  <c r="L86" i="5"/>
  <c r="J88" i="5"/>
  <c r="I88" i="5"/>
  <c r="G88" i="5"/>
  <c r="E88" i="5"/>
  <c r="L66" i="5"/>
  <c r="L65" i="5"/>
  <c r="M65" i="5"/>
  <c r="L88" i="5" l="1"/>
  <c r="K88" i="5"/>
  <c r="G50" i="5" l="1"/>
  <c r="H50" i="5"/>
  <c r="E51" i="5"/>
  <c r="D50" i="5"/>
  <c r="E50" i="5"/>
  <c r="I28" i="5"/>
  <c r="F28" i="5"/>
  <c r="K399" i="2" l="1"/>
  <c r="K406" i="2"/>
  <c r="K402" i="2"/>
  <c r="K398" i="2"/>
  <c r="K405" i="2"/>
  <c r="K403" i="2"/>
  <c r="K401" i="2"/>
  <c r="K413" i="2"/>
  <c r="K414" i="2"/>
  <c r="M374" i="2"/>
  <c r="M372" i="2"/>
  <c r="M370" i="2"/>
  <c r="M369" i="2"/>
  <c r="M373" i="2"/>
  <c r="M365" i="2"/>
  <c r="M379" i="2"/>
  <c r="M375" i="2"/>
  <c r="M381" i="2"/>
  <c r="M383" i="2"/>
  <c r="M364" i="2"/>
  <c r="M368" i="2"/>
  <c r="M385" i="2"/>
  <c r="M386" i="2"/>
  <c r="I93" i="1" l="1"/>
  <c r="F110" i="1"/>
  <c r="F109" i="1"/>
  <c r="J43" i="2" l="1"/>
  <c r="L33" i="2"/>
  <c r="L23" i="2"/>
  <c r="F192" i="6" l="1"/>
  <c r="F515" i="7" l="1"/>
  <c r="H515" i="7"/>
  <c r="L515" i="7"/>
  <c r="D515" i="7"/>
  <c r="J515" i="7"/>
  <c r="F406" i="7" l="1"/>
  <c r="H406" i="7"/>
  <c r="J406" i="7"/>
  <c r="L406" i="7"/>
  <c r="D406" i="7"/>
  <c r="F463" i="7"/>
  <c r="H463" i="7"/>
  <c r="J463" i="7"/>
  <c r="L463" i="7"/>
  <c r="D463" i="7"/>
  <c r="J80" i="6" l="1"/>
  <c r="K80" i="6"/>
  <c r="L80" i="6"/>
  <c r="M80" i="6"/>
  <c r="N80" i="6"/>
  <c r="I80" i="6"/>
  <c r="N69" i="6"/>
  <c r="N62" i="6"/>
  <c r="D42" i="5" l="1"/>
  <c r="F42" i="5"/>
  <c r="I42" i="5"/>
  <c r="H42" i="5" s="1"/>
  <c r="G29" i="5"/>
  <c r="H29" i="5"/>
  <c r="E29" i="5"/>
  <c r="E22" i="5"/>
  <c r="H22" i="5"/>
  <c r="G22" i="5"/>
  <c r="N105" i="4"/>
  <c r="P105" i="4"/>
  <c r="Q105" i="4"/>
  <c r="R105" i="4"/>
  <c r="M105" i="4"/>
  <c r="I306" i="2"/>
  <c r="K301" i="2"/>
  <c r="K296" i="2"/>
  <c r="I83" i="1"/>
  <c r="I72" i="1"/>
  <c r="I37" i="1"/>
  <c r="I57" i="1"/>
  <c r="I17" i="1"/>
  <c r="G42" i="5" l="1"/>
  <c r="I27" i="5" l="1"/>
  <c r="Q78" i="4" l="1"/>
  <c r="Q77" i="4"/>
  <c r="Q73" i="4"/>
  <c r="Q72" i="4"/>
  <c r="Q31" i="4" l="1"/>
  <c r="Q30" i="4"/>
  <c r="Q26" i="4"/>
  <c r="Q25" i="4"/>
  <c r="D51" i="5" l="1"/>
  <c r="D319" i="7" l="1"/>
  <c r="E243" i="6"/>
  <c r="F243" i="6" s="1"/>
  <c r="E242" i="6"/>
  <c r="F242" i="6" s="1"/>
  <c r="E241" i="6"/>
  <c r="F241" i="6" s="1"/>
  <c r="F161" i="6"/>
  <c r="O138" i="6"/>
  <c r="F132" i="6" s="1"/>
  <c r="K138" i="6"/>
  <c r="F131" i="6" s="1"/>
  <c r="G138" i="6"/>
  <c r="L69" i="6"/>
  <c r="M69" i="6"/>
  <c r="L62" i="6"/>
  <c r="M62" i="6"/>
  <c r="F159" i="6" l="1"/>
  <c r="F160" i="6"/>
  <c r="H83" i="1" l="1"/>
  <c r="I20" i="5" l="1"/>
  <c r="F20" i="5"/>
  <c r="AN71" i="8" l="1"/>
  <c r="AN70" i="8"/>
  <c r="AN69" i="8"/>
  <c r="AN68" i="8"/>
  <c r="AN67" i="8"/>
  <c r="AN66" i="8"/>
  <c r="AN65" i="8"/>
  <c r="AN64" i="8"/>
  <c r="AN63" i="8"/>
  <c r="AN62" i="8"/>
  <c r="AN61" i="8"/>
  <c r="AN60" i="8"/>
  <c r="AN59" i="8"/>
  <c r="AN58" i="8"/>
  <c r="AN57" i="8"/>
  <c r="AN56" i="8"/>
  <c r="AN55" i="8"/>
  <c r="AN54" i="8"/>
  <c r="AN52" i="8"/>
  <c r="AN51" i="8"/>
  <c r="AN50" i="8"/>
  <c r="AN49" i="8"/>
  <c r="AN48" i="8"/>
  <c r="AN47" i="8"/>
  <c r="AN46" i="8"/>
  <c r="AN45" i="8"/>
  <c r="AN44" i="8"/>
  <c r="AN43" i="8"/>
  <c r="AN42" i="8"/>
  <c r="AN41" i="8"/>
  <c r="AN40" i="8"/>
  <c r="AN39" i="8"/>
  <c r="AN38" i="8"/>
  <c r="AN37" i="8"/>
  <c r="AN36" i="8"/>
  <c r="AN35" i="8"/>
  <c r="AN34" i="8"/>
  <c r="AN33" i="8"/>
  <c r="AN32" i="8"/>
  <c r="AN31" i="8"/>
  <c r="AN30" i="8"/>
  <c r="AN29" i="8"/>
  <c r="AN28" i="8"/>
  <c r="AN27" i="8"/>
  <c r="AN26" i="8"/>
  <c r="AN25" i="8"/>
  <c r="AN24" i="8"/>
  <c r="AN23" i="8"/>
  <c r="AN22" i="8"/>
  <c r="AN21" i="8"/>
  <c r="AN20" i="8"/>
  <c r="AN19" i="8"/>
  <c r="AN18" i="8"/>
  <c r="AN17" i="8"/>
  <c r="AN16" i="8"/>
  <c r="AN15" i="8"/>
  <c r="AN14" i="8"/>
  <c r="F27" i="5" l="1"/>
  <c r="J406" i="2"/>
  <c r="J402" i="2"/>
  <c r="J403" i="2"/>
  <c r="J401" i="2"/>
  <c r="J398" i="2"/>
  <c r="J399" i="2"/>
  <c r="J391" i="2" l="1"/>
  <c r="J407" i="2"/>
  <c r="J413" i="2"/>
  <c r="J414" i="2"/>
  <c r="L373" i="2"/>
  <c r="L370" i="2"/>
  <c r="L385" i="2"/>
  <c r="L386" i="2"/>
  <c r="L375" i="2" l="1"/>
  <c r="L374" i="2"/>
  <c r="L379" i="2"/>
  <c r="L383" i="2"/>
  <c r="L365" i="2"/>
  <c r="L372" i="2"/>
  <c r="L369" i="2"/>
  <c r="L368" i="2"/>
  <c r="L357" i="2" l="1"/>
  <c r="F753" i="7" l="1"/>
  <c r="F754" i="7"/>
  <c r="G754" i="7"/>
  <c r="G753" i="7"/>
  <c r="K709" i="7"/>
  <c r="K710" i="7"/>
  <c r="H72" i="1"/>
  <c r="H57" i="1"/>
  <c r="H37" i="1"/>
  <c r="I71" i="2" l="1"/>
  <c r="I70" i="2"/>
  <c r="I69" i="2"/>
  <c r="I67" i="2"/>
  <c r="K62" i="2" l="1"/>
  <c r="K61" i="2"/>
  <c r="K60" i="2"/>
  <c r="K59" i="2"/>
  <c r="K52" i="2"/>
  <c r="K51" i="2" l="1"/>
  <c r="K50" i="2"/>
  <c r="K33" i="2" l="1"/>
  <c r="I43" i="2"/>
  <c r="K23" i="2"/>
  <c r="J301" i="2" l="1"/>
  <c r="J296" i="2"/>
  <c r="L82" i="6" l="1"/>
  <c r="K82" i="6"/>
  <c r="J82" i="6"/>
  <c r="I82" i="6"/>
  <c r="I26" i="5" l="1"/>
  <c r="F26" i="5"/>
  <c r="I23" i="5"/>
  <c r="F23" i="5"/>
  <c r="I19" i="5"/>
  <c r="F19" i="5"/>
  <c r="I18" i="5"/>
  <c r="F18" i="5"/>
  <c r="H306" i="2"/>
  <c r="F108" i="1"/>
  <c r="F107" i="1"/>
  <c r="G17" i="1"/>
  <c r="F17" i="1"/>
  <c r="E17" i="1"/>
  <c r="D17" i="1"/>
  <c r="F22" i="5" l="1"/>
  <c r="F29" i="5"/>
  <c r="I29" i="5"/>
  <c r="I22" i="5"/>
  <c r="BA74" i="9" l="1"/>
  <c r="AZ74" i="9"/>
  <c r="BB69" i="9"/>
  <c r="BB68" i="9"/>
  <c r="BB67" i="9"/>
  <c r="BB66" i="9"/>
  <c r="BB65" i="9"/>
  <c r="BB64" i="9"/>
  <c r="BB63" i="9"/>
  <c r="BA57" i="9"/>
  <c r="AZ57" i="9"/>
  <c r="BB56" i="9"/>
  <c r="BB55" i="9"/>
  <c r="BB54" i="9"/>
  <c r="BB53" i="9"/>
  <c r="BB52" i="9"/>
  <c r="BB51" i="9"/>
  <c r="BB50" i="9"/>
  <c r="BB49" i="9"/>
  <c r="BB48" i="9"/>
  <c r="BB46" i="9"/>
  <c r="BA41" i="9"/>
  <c r="AZ41" i="9"/>
  <c r="BB40" i="9"/>
  <c r="BB39" i="9"/>
  <c r="BB38" i="9"/>
  <c r="BB37" i="9"/>
  <c r="BB36" i="9"/>
  <c r="BB35" i="9"/>
  <c r="BB33" i="9"/>
  <c r="BB32" i="9"/>
  <c r="BB31" i="9"/>
  <c r="BB30" i="9"/>
  <c r="BB25" i="9"/>
  <c r="BA25" i="9"/>
  <c r="AZ25" i="9"/>
  <c r="F814" i="7"/>
  <c r="F813" i="7"/>
  <c r="G812" i="7"/>
  <c r="F811" i="7"/>
  <c r="F806" i="7"/>
  <c r="F805" i="7"/>
  <c r="G795" i="7"/>
  <c r="G794" i="7"/>
  <c r="G793" i="7"/>
  <c r="F792" i="7"/>
  <c r="F789" i="7"/>
  <c r="F786" i="7"/>
  <c r="G785" i="7"/>
  <c r="G775" i="7"/>
  <c r="G772" i="7"/>
  <c r="G762" i="7"/>
  <c r="F761" i="7"/>
  <c r="F756" i="7"/>
  <c r="F749" i="7"/>
  <c r="G748" i="7"/>
  <c r="F745" i="7"/>
  <c r="F741" i="7"/>
  <c r="F740" i="7"/>
  <c r="G737" i="7"/>
  <c r="G736" i="7"/>
  <c r="F734" i="7"/>
  <c r="F731" i="7"/>
  <c r="F726" i="7"/>
  <c r="G725" i="7"/>
  <c r="G723" i="7"/>
  <c r="F722" i="7"/>
  <c r="K69" i="6"/>
  <c r="J69" i="6"/>
  <c r="I69" i="6"/>
  <c r="K62" i="6"/>
  <c r="J62" i="6"/>
  <c r="I62" i="6"/>
  <c r="M88" i="5"/>
  <c r="K82" i="5"/>
  <c r="J82" i="5"/>
  <c r="I82" i="5"/>
  <c r="K67" i="5"/>
  <c r="J67" i="5"/>
  <c r="I67" i="5"/>
  <c r="G67" i="5"/>
  <c r="E67" i="5"/>
  <c r="M67" i="5"/>
  <c r="M61" i="5"/>
  <c r="K61" i="5"/>
  <c r="J61" i="5"/>
  <c r="I61" i="5"/>
  <c r="I51" i="5"/>
  <c r="H51" i="5" s="1"/>
  <c r="G51" i="5" s="1"/>
  <c r="F51" i="5"/>
  <c r="O94" i="4"/>
  <c r="O105" i="4" s="1"/>
  <c r="O92" i="4"/>
  <c r="P91" i="4"/>
  <c r="O91" i="4"/>
  <c r="O80" i="4"/>
  <c r="P79" i="4"/>
  <c r="O79" i="4"/>
  <c r="P78" i="4"/>
  <c r="O78" i="4"/>
  <c r="P77" i="4"/>
  <c r="O77" i="4"/>
  <c r="P73" i="4"/>
  <c r="P72" i="4"/>
  <c r="O72" i="4"/>
  <c r="P68" i="4"/>
  <c r="O68" i="4"/>
  <c r="P64" i="4"/>
  <c r="O64" i="4"/>
  <c r="P47" i="4"/>
  <c r="O47" i="4"/>
  <c r="O45" i="4"/>
  <c r="P44" i="4"/>
  <c r="O44" i="4"/>
  <c r="O33" i="4"/>
  <c r="P32" i="4"/>
  <c r="O32" i="4"/>
  <c r="P31" i="4"/>
  <c r="O31" i="4"/>
  <c r="P30" i="4"/>
  <c r="O30" i="4"/>
  <c r="P26" i="4"/>
  <c r="O26" i="4"/>
  <c r="P25" i="4"/>
  <c r="O25" i="4"/>
  <c r="P21" i="4"/>
  <c r="O21" i="4"/>
  <c r="P17" i="4"/>
  <c r="O17" i="4"/>
  <c r="I386" i="2"/>
  <c r="I385" i="2"/>
  <c r="I357" i="2"/>
  <c r="I353" i="2"/>
  <c r="I351" i="2"/>
  <c r="I350" i="2"/>
  <c r="I344" i="2"/>
  <c r="I341" i="2"/>
  <c r="I340" i="2"/>
  <c r="I338" i="2"/>
  <c r="I337" i="2"/>
  <c r="I332" i="2"/>
  <c r="I329" i="2"/>
  <c r="I328" i="2"/>
  <c r="I327" i="2"/>
  <c r="I326" i="2"/>
  <c r="I320" i="2"/>
  <c r="I318" i="2"/>
  <c r="I315" i="2"/>
  <c r="I314" i="2"/>
  <c r="G306" i="2"/>
  <c r="F306" i="2"/>
  <c r="I301" i="2"/>
  <c r="H301" i="2"/>
  <c r="I296" i="2"/>
  <c r="H296" i="2"/>
  <c r="G296" i="2"/>
  <c r="F296" i="2"/>
  <c r="G70" i="2"/>
  <c r="G67" i="2"/>
  <c r="I62" i="2"/>
  <c r="I61" i="2"/>
  <c r="I59" i="2"/>
  <c r="I56" i="2"/>
  <c r="H54" i="2"/>
  <c r="I53" i="2"/>
  <c r="H53" i="2"/>
  <c r="I52" i="2"/>
  <c r="H52" i="2"/>
  <c r="I50" i="2"/>
  <c r="H50" i="2"/>
  <c r="H43" i="2"/>
  <c r="G43" i="2"/>
  <c r="J33" i="2"/>
  <c r="I33" i="2"/>
  <c r="H33" i="2"/>
  <c r="G33" i="2"/>
  <c r="J23" i="2"/>
  <c r="I23" i="2"/>
  <c r="H23" i="2"/>
  <c r="G23" i="2"/>
  <c r="F106" i="1"/>
  <c r="F105" i="1"/>
  <c r="F104" i="1"/>
  <c r="F103" i="1"/>
  <c r="F102" i="1"/>
  <c r="F101" i="1"/>
  <c r="F100" i="1"/>
  <c r="F99" i="1"/>
  <c r="G93" i="1"/>
  <c r="F93" i="1"/>
  <c r="E93" i="1"/>
  <c r="D93" i="1"/>
  <c r="H93" i="1"/>
  <c r="G83" i="1"/>
  <c r="F83" i="1"/>
  <c r="E83" i="1"/>
  <c r="D83" i="1"/>
  <c r="G72" i="1"/>
  <c r="F72" i="1"/>
  <c r="E72" i="1"/>
  <c r="D72" i="1"/>
  <c r="G57" i="1"/>
  <c r="F57" i="1"/>
  <c r="E57" i="1"/>
  <c r="D57" i="1"/>
  <c r="G37" i="1"/>
  <c r="F37" i="1"/>
  <c r="E37" i="1"/>
  <c r="D37" i="1"/>
  <c r="H17" i="1"/>
  <c r="G765" i="7" l="1"/>
  <c r="G766" i="7"/>
  <c r="F720" i="7"/>
  <c r="G720" i="7"/>
  <c r="G724" i="7"/>
  <c r="F724" i="7"/>
  <c r="F728" i="7"/>
  <c r="G728" i="7"/>
  <c r="G752" i="7"/>
  <c r="F752" i="7"/>
  <c r="G769" i="7"/>
  <c r="F769" i="7"/>
  <c r="F773" i="7"/>
  <c r="G773" i="7"/>
  <c r="F777" i="7"/>
  <c r="G777" i="7"/>
  <c r="G797" i="7"/>
  <c r="F797" i="7"/>
  <c r="G801" i="7"/>
  <c r="F801" i="7"/>
  <c r="G809" i="7"/>
  <c r="F809" i="7"/>
  <c r="F721" i="7"/>
  <c r="G721" i="7"/>
  <c r="G729" i="7"/>
  <c r="F729" i="7"/>
  <c r="F733" i="7"/>
  <c r="G733" i="7"/>
  <c r="F770" i="7"/>
  <c r="G770" i="7"/>
  <c r="G774" i="7"/>
  <c r="F774" i="7"/>
  <c r="G778" i="7"/>
  <c r="F778" i="7"/>
  <c r="G790" i="7"/>
  <c r="F790" i="7"/>
  <c r="G798" i="7"/>
  <c r="F798" i="7"/>
  <c r="G802" i="7"/>
  <c r="F802" i="7"/>
  <c r="G810" i="7"/>
  <c r="F810" i="7"/>
  <c r="F730" i="7"/>
  <c r="G730" i="7"/>
  <c r="F742" i="7"/>
  <c r="G742" i="7"/>
  <c r="G750" i="7"/>
  <c r="F750" i="7"/>
  <c r="G771" i="7"/>
  <c r="F771" i="7"/>
  <c r="F779" i="7"/>
  <c r="G779" i="7"/>
  <c r="F783" i="7"/>
  <c r="G783" i="7"/>
  <c r="G787" i="7"/>
  <c r="F787" i="7"/>
  <c r="G791" i="7"/>
  <c r="F791" i="7"/>
  <c r="F799" i="7"/>
  <c r="G799" i="7"/>
  <c r="G803" i="7"/>
  <c r="F803" i="7"/>
  <c r="G807" i="7"/>
  <c r="F807" i="7"/>
  <c r="G815" i="7"/>
  <c r="F815" i="7"/>
  <c r="G727" i="7"/>
  <c r="F727" i="7"/>
  <c r="G743" i="7"/>
  <c r="F743" i="7"/>
  <c r="G760" i="7"/>
  <c r="F760" i="7"/>
  <c r="F768" i="7"/>
  <c r="G768" i="7"/>
  <c r="G776" i="7"/>
  <c r="F776" i="7"/>
  <c r="G780" i="7"/>
  <c r="F780" i="7"/>
  <c r="G784" i="7"/>
  <c r="F784" i="7"/>
  <c r="F788" i="7"/>
  <c r="G788" i="7"/>
  <c r="F796" i="7"/>
  <c r="G796" i="7"/>
  <c r="G800" i="7"/>
  <c r="F800" i="7"/>
  <c r="G804" i="7"/>
  <c r="F804" i="7"/>
  <c r="G816" i="7"/>
  <c r="F816" i="7"/>
  <c r="G709" i="7"/>
  <c r="AZ26" i="9"/>
  <c r="BB74" i="9"/>
  <c r="BB75" i="9" s="1"/>
  <c r="BB41" i="9"/>
  <c r="BB42" i="9" s="1"/>
  <c r="BB57" i="9"/>
  <c r="BB58" i="9" s="1"/>
  <c r="L67" i="5"/>
  <c r="BA26" i="9"/>
  <c r="BB26" i="9"/>
  <c r="G756" i="7"/>
  <c r="F755" i="7"/>
  <c r="G755" i="7"/>
  <c r="G764" i="7"/>
  <c r="F772" i="7"/>
  <c r="F812" i="7"/>
  <c r="F763" i="7"/>
  <c r="G763" i="7"/>
  <c r="F775" i="7"/>
  <c r="F795" i="7"/>
  <c r="G811" i="7"/>
  <c r="F782" i="7"/>
  <c r="G782" i="7"/>
  <c r="G786" i="7"/>
  <c r="F794" i="7"/>
  <c r="G806" i="7"/>
  <c r="G814" i="7"/>
  <c r="G792" i="7"/>
  <c r="F808" i="7"/>
  <c r="G808" i="7"/>
  <c r="F767" i="7"/>
  <c r="F762" i="7"/>
  <c r="F766" i="7"/>
  <c r="G761" i="7"/>
  <c r="F765" i="7"/>
  <c r="F781" i="7"/>
  <c r="G781" i="7"/>
  <c r="F785" i="7"/>
  <c r="G789" i="7"/>
  <c r="F793" i="7"/>
  <c r="G805" i="7"/>
  <c r="G813" i="7"/>
  <c r="F725" i="7"/>
  <c r="F737" i="7"/>
  <c r="G741" i="7"/>
  <c r="G745" i="7"/>
  <c r="G749" i="7"/>
  <c r="G732" i="7"/>
  <c r="F732" i="7"/>
  <c r="F736" i="7"/>
  <c r="G740" i="7"/>
  <c r="G744" i="7"/>
  <c r="F744" i="7"/>
  <c r="F748" i="7"/>
  <c r="F723" i="7"/>
  <c r="G731" i="7"/>
  <c r="F735" i="7"/>
  <c r="G735" i="7"/>
  <c r="G739" i="7"/>
  <c r="F739" i="7"/>
  <c r="F747" i="7"/>
  <c r="G747" i="7"/>
  <c r="G751" i="7"/>
  <c r="F751" i="7"/>
  <c r="G722" i="7"/>
  <c r="G726" i="7"/>
  <c r="G734" i="7"/>
  <c r="F738" i="7"/>
  <c r="G738" i="7"/>
  <c r="F746" i="7"/>
  <c r="G746" i="7"/>
  <c r="E61" i="5"/>
  <c r="G710" i="7"/>
  <c r="O710" i="7"/>
  <c r="O709" i="7"/>
  <c r="U709" i="7"/>
  <c r="U710" i="7"/>
  <c r="Q709" i="7"/>
  <c r="Q710" i="7"/>
  <c r="M709" i="7"/>
  <c r="S709" i="7"/>
  <c r="S710" i="7"/>
  <c r="AZ58" i="9" l="1"/>
  <c r="BA58" i="9"/>
  <c r="AZ75" i="9"/>
  <c r="BA75" i="9"/>
  <c r="BA42" i="9"/>
  <c r="AZ42" i="9"/>
  <c r="G61" i="5"/>
  <c r="L61" i="5"/>
</calcChain>
</file>

<file path=xl/sharedStrings.xml><?xml version="1.0" encoding="utf-8"?>
<sst xmlns="http://schemas.openxmlformats.org/spreadsheetml/2006/main" count="8682" uniqueCount="1924">
  <si>
    <t>Grau en CAFE (71046) Pla 2012</t>
  </si>
  <si>
    <t>Taula 1. Evolució dels estudiants matriculats</t>
  </si>
  <si>
    <t>Titulació</t>
  </si>
  <si>
    <t>Estudiants matriculats</t>
  </si>
  <si>
    <t>2017-18</t>
  </si>
  <si>
    <t>2018-19</t>
  </si>
  <si>
    <t>2019-20</t>
  </si>
  <si>
    <t>Grau en CAFE</t>
  </si>
  <si>
    <t>Grau en Fisioteràpia</t>
  </si>
  <si>
    <t>Doble titulació</t>
  </si>
  <si>
    <t>x</t>
  </si>
  <si>
    <t xml:space="preserve">Total </t>
  </si>
  <si>
    <t>Font: Càlculs propis</t>
  </si>
  <si>
    <t>Estudiants matriculats Grau en CAFE</t>
  </si>
  <si>
    <t>Promoció 2012-2016</t>
  </si>
  <si>
    <t>Promoció 2013-2017</t>
  </si>
  <si>
    <t>Promoció 2014-2018</t>
  </si>
  <si>
    <t>Promoció 2015 - 2019</t>
  </si>
  <si>
    <t>Promoció 2016 - 2020</t>
  </si>
  <si>
    <t>Promoció 2017 - 2021</t>
  </si>
  <si>
    <t>Promoció 2018 - 2022</t>
  </si>
  <si>
    <t>Promoció 2019 - 2023</t>
  </si>
  <si>
    <t>Estudiants matriculats Grau en Fisioteràpia</t>
  </si>
  <si>
    <t>X</t>
  </si>
  <si>
    <t>Taula 1.2. Evolució del nombre de titulats</t>
  </si>
  <si>
    <t>Titulats</t>
  </si>
  <si>
    <t>Professorat</t>
  </si>
  <si>
    <t>CAFE</t>
  </si>
  <si>
    <t>Homes</t>
  </si>
  <si>
    <t>Dones</t>
  </si>
  <si>
    <t>Taula 3. Indicadors del procés d’admissió d’estudiants a grau</t>
  </si>
  <si>
    <t>Indicador</t>
  </si>
  <si>
    <t>Places ofertes</t>
  </si>
  <si>
    <t>Demanda en 1a opció</t>
  </si>
  <si>
    <t>Ràtio oferta-demanda en 1a opció</t>
  </si>
  <si>
    <t>50/17= 2,94</t>
  </si>
  <si>
    <t>50/21= 2,38</t>
  </si>
  <si>
    <t xml:space="preserve">Demanda 1a-3a opció </t>
  </si>
  <si>
    <t>Demanda total</t>
  </si>
  <si>
    <t>Ingressos</t>
  </si>
  <si>
    <t>Nombre d'ingressos 1a opció</t>
  </si>
  <si>
    <t>% Ingressos 1a opció</t>
  </si>
  <si>
    <t>Font: Oficina d'Orientació per a l'Accés a la Universitat. Càlculs propis</t>
  </si>
  <si>
    <t>Via accés </t>
  </si>
  <si>
    <t>Proves d'accés a la Universitat (PAU) o assimilats</t>
  </si>
  <si>
    <t>Llicenciats, diplomats o assimilats</t>
  </si>
  <si>
    <t>Títol d'FP2, MP3 o CFGS i assimilats</t>
  </si>
  <si>
    <t>PAU i assimilats que tenen començats estudis universitaris</t>
  </si>
  <si>
    <t>FP2 o CFGS i assimilats que tenen començats estudis universitaris</t>
  </si>
  <si>
    <t>Més grans de 25 anys</t>
  </si>
  <si>
    <t>Taula 5. Nota mitjana d'accés dels estudiants matriculats, segons via</t>
  </si>
  <si>
    <t>-</t>
  </si>
  <si>
    <t>Nota d'accés promig</t>
  </si>
  <si>
    <t>Nota d'entrada a la titulació (nota de tall)</t>
  </si>
  <si>
    <t>Taula 6. Percentatge d’alumnes de nou ingrés matriculats per intervals de crèdits ordinaris matriculats</t>
  </si>
  <si>
    <t>Nombre de crèdits matriculats </t>
  </si>
  <si>
    <t>Matrícules amb crèdits ordinaris &gt;0 i &lt;30</t>
  </si>
  <si>
    <t>Matrícules amb crèdits ordinaris &gt;=30 i &lt;60</t>
  </si>
  <si>
    <t>Matrícules amb crèdits ordinaris &gt;=60 i &lt;90</t>
  </si>
  <si>
    <t>Taula 7. Percentatge d’alumnes de nou ingrés segons interval de nota d’accés</t>
  </si>
  <si>
    <t>Interval nota accés</t>
  </si>
  <si>
    <t>[5,6)</t>
  </si>
  <si>
    <t>[6,7)</t>
  </si>
  <si>
    <t>[7,8)</t>
  </si>
  <si>
    <t>[8,9)</t>
  </si>
  <si>
    <t>[9,10)</t>
  </si>
  <si>
    <t>(10,14]</t>
  </si>
  <si>
    <t>Font: Elaboració pròpia</t>
  </si>
  <si>
    <t>Grup Edat</t>
  </si>
  <si>
    <t>TOTAL</t>
  </si>
  <si>
    <t>&lt;=18</t>
  </si>
  <si>
    <t>[30-34]</t>
  </si>
  <si>
    <t>[35-39]</t>
  </si>
  <si>
    <t>&gt;=40</t>
  </si>
  <si>
    <t xml:space="preserve">Titulació </t>
  </si>
  <si>
    <t>Temps complert</t>
  </si>
  <si>
    <t>Temps parcial</t>
  </si>
  <si>
    <t>Total</t>
  </si>
  <si>
    <t>Província familiar</t>
  </si>
  <si>
    <t>Comarca familiar</t>
  </si>
  <si>
    <t>Estudiants matriculats (%)</t>
  </si>
  <si>
    <t>Barcelona</t>
  </si>
  <si>
    <t>Alt Penedès</t>
  </si>
  <si>
    <t>Anoia</t>
  </si>
  <si>
    <t>Baix Llobregat</t>
  </si>
  <si>
    <t>Barcelonés</t>
  </si>
  <si>
    <t>Garraf</t>
  </si>
  <si>
    <t>Maresme</t>
  </si>
  <si>
    <t>Osona</t>
  </si>
  <si>
    <t>Vallés Occidental</t>
  </si>
  <si>
    <t>Vallés Oriental</t>
  </si>
  <si>
    <t>Tarragona</t>
  </si>
  <si>
    <t>Alt Camp</t>
  </si>
  <si>
    <t>Baix Camp</t>
  </si>
  <si>
    <t>Baix Ebre</t>
  </si>
  <si>
    <t>Baix Penedès</t>
  </si>
  <si>
    <t>Montsià</t>
  </si>
  <si>
    <t>Priorat</t>
  </si>
  <si>
    <t>Ribera d'Ebre</t>
  </si>
  <si>
    <t>Tarragonès</t>
  </si>
  <si>
    <t>Girona</t>
  </si>
  <si>
    <t>Alt Empordà</t>
  </si>
  <si>
    <t>Baix Empordà</t>
  </si>
  <si>
    <t>Gironès</t>
  </si>
  <si>
    <t>Lleida</t>
  </si>
  <si>
    <t>Segrià</t>
  </si>
  <si>
    <t>Noguera</t>
  </si>
  <si>
    <t>Castelló</t>
  </si>
  <si>
    <t>Baix Maestrat</t>
  </si>
  <si>
    <t>Plana Alta</t>
  </si>
  <si>
    <t>Fuerteventura</t>
  </si>
  <si>
    <t>Alicant</t>
  </si>
  <si>
    <t>Marina Alta</t>
  </si>
  <si>
    <t>Navarra</t>
  </si>
  <si>
    <t>Menorca</t>
  </si>
  <si>
    <t>Mallorca</t>
  </si>
  <si>
    <t>Fora d'Espanya</t>
  </si>
  <si>
    <t>Alt Penedés</t>
  </si>
  <si>
    <t>Bages</t>
  </si>
  <si>
    <t>Barcelonès</t>
  </si>
  <si>
    <t>El Maresme</t>
  </si>
  <si>
    <t>Conca de Barberà</t>
  </si>
  <si>
    <t>Terra Alta</t>
  </si>
  <si>
    <t>Segria</t>
  </si>
  <si>
    <t>Pla d'Urgell</t>
  </si>
  <si>
    <t xml:space="preserve">Girona </t>
  </si>
  <si>
    <t>Garrotxa</t>
  </si>
  <si>
    <t>Gironés</t>
  </si>
  <si>
    <t>Selva</t>
  </si>
  <si>
    <t>Altres CCAA</t>
  </si>
  <si>
    <t>Altres (fora d'Espanya)</t>
  </si>
  <si>
    <t>DIMENSIÓ</t>
  </si>
  <si>
    <t>CONTINGUTS</t>
  </si>
  <si>
    <t>ENLLAÇ</t>
  </si>
  <si>
    <t>ACCÉS ALS ESTUDIS</t>
  </si>
  <si>
    <t>Assignatures o proves especials que possibiliten la millora de la nota d’accés (Si escau)</t>
  </si>
  <si>
    <t>Calendari de preinscripció</t>
  </si>
  <si>
    <t>Perfil recomanat</t>
  </si>
  <si>
    <t>Objectius</t>
  </si>
  <si>
    <t>Competències</t>
  </si>
  <si>
    <t>Trasllat d'expedient</t>
  </si>
  <si>
    <t>Beques i ajuts</t>
  </si>
  <si>
    <t>MATRÍCULA</t>
  </si>
  <si>
    <t>Terminis</t>
  </si>
  <si>
    <t>Documentació</t>
  </si>
  <si>
    <t>Formalització</t>
  </si>
  <si>
    <t>Preus</t>
  </si>
  <si>
    <t>Reconeixement de crèdits</t>
  </si>
  <si>
    <t>Orientació universitària</t>
  </si>
  <si>
    <t>PLANIFICACIÓ OPERATIVA DEL CURS</t>
  </si>
  <si>
    <t>Ensenyaments</t>
  </si>
  <si>
    <t>Assignatures (Informació; Professors; Horaris i dates d'exàmens)</t>
  </si>
  <si>
    <t>Laboratoris (si escau)</t>
  </si>
  <si>
    <t>Biblioteca</t>
  </si>
  <si>
    <t>Pla d’Acció Tutorial</t>
  </si>
  <si>
    <t>PROFESSORAT</t>
  </si>
  <si>
    <t>PRÀCTIQUES EXTERNES</t>
  </si>
  <si>
    <t>PROGRAMES DE MOBILITAT</t>
  </si>
  <si>
    <t>TREBALL FI DE GRAU</t>
  </si>
  <si>
    <t>GARANTIA DE LA QUALITAT</t>
  </si>
  <si>
    <t>Memòria de verificació</t>
  </si>
  <si>
    <t>Informes de seguiment de titulació</t>
  </si>
  <si>
    <t>Taxes i indicadors sobre demanda i desenvolupament de la titulació</t>
  </si>
  <si>
    <t>Enllaç a EUC Estudis (Coneix la Qualitat)</t>
  </si>
  <si>
    <t>Enllaç a la pàgina dels títols al RUCT</t>
  </si>
  <si>
    <t>Id.</t>
  </si>
  <si>
    <t>Instrument /Mecanisme (1)</t>
  </si>
  <si>
    <t>Dimensions o ítems de satisfacció inclosos</t>
  </si>
  <si>
    <t>Abast</t>
  </si>
  <si>
    <t>Format</t>
  </si>
  <si>
    <t>Periodicitat</t>
  </si>
  <si>
    <t>Últimes dades disponibles</t>
  </si>
  <si>
    <t>Estàndards d’acreditació relacionats</t>
  </si>
  <si>
    <t>18-19</t>
  </si>
  <si>
    <t>19-20</t>
  </si>
  <si>
    <t>Estudiants</t>
  </si>
  <si>
    <t>ENQUESTA ESTUDIANT DE GRAU DE PRIMER CURS</t>
  </si>
  <si>
    <t>●Experiència educativa</t>
  </si>
  <si>
    <t>Grau</t>
  </si>
  <si>
    <t>Virtual</t>
  </si>
  <si>
    <t>Anual</t>
  </si>
  <si>
    <t>Últim curs finalitzat</t>
  </si>
  <si>
    <t>E1</t>
  </si>
  <si>
    <t>E2</t>
  </si>
  <si>
    <t>E5</t>
  </si>
  <si>
    <t xml:space="preserve">●Altres dimensions del programa formatiu i serveis (2)  </t>
  </si>
  <si>
    <t>E6</t>
  </si>
  <si>
    <t>ENQUESTA ESTUDIANT DE GRAU DURANT</t>
  </si>
  <si>
    <t>"PROFESSORAT" ENQUESTA ASSIGNATURA GRAU</t>
  </si>
  <si>
    <t>●Actuació docent del professorat</t>
  </si>
  <si>
    <t>Quadrimestral</t>
  </si>
  <si>
    <t>E4</t>
  </si>
  <si>
    <t>ENQUESTA ASSIGNATURA GRAU</t>
  </si>
  <si>
    <t>PE-ENQUESTA ASSIGNATURA GRAU</t>
  </si>
  <si>
    <t xml:space="preserve">●Execucions clau </t>
  </si>
  <si>
    <t>TFG-ENQUESTA ASSIGNATURA GRAU</t>
  </si>
  <si>
    <t>Professorat i responsable de la titulació</t>
  </si>
  <si>
    <t>●Estructura del pla d’estudis (matèries i el seu pes).</t>
  </si>
  <si>
    <t>●Perfil de competències (resultats d’aprenentatge previstos) de la titulació.</t>
  </si>
  <si>
    <t>●Perfil dels estudiants que han accedit a la titulació.</t>
  </si>
  <si>
    <t>●Organització del desplegament del pla d’estudis (grups, horaris, etc.).</t>
  </si>
  <si>
    <t>●Coordinació docent i la comunicació interna.</t>
  </si>
  <si>
    <t>●Metodologies docents i les estratègies d’avaluació.</t>
  </si>
  <si>
    <t>●Recursos docents disponibles.</t>
  </si>
  <si>
    <t>●Treball i la dedicació dels estudiants.</t>
  </si>
  <si>
    <t>●Resultats de l’aprenentatge obtinguts pels estudiants.</t>
  </si>
  <si>
    <r>
      <t>●Altres dimensions del programa formatiu i serveis (2)</t>
    </r>
    <r>
      <rPr>
        <sz val="8"/>
        <color rgb="FF000000"/>
        <rFont val="Verdana"/>
        <family val="2"/>
      </rPr>
      <t xml:space="preserve">  </t>
    </r>
  </si>
  <si>
    <t>●Altres dimensions del programa formatiu i serveis (2)</t>
  </si>
  <si>
    <t>Graduats</t>
  </si>
  <si>
    <t>ENQUESTA ESTUDIANT DE GRAU QUAN ACABEN</t>
  </si>
  <si>
    <t xml:space="preserve">●Formació rebuda </t>
  </si>
  <si>
    <t>●Formació rebuda</t>
  </si>
  <si>
    <t>Trianual</t>
  </si>
  <si>
    <t>●Ocupació i la satisfacció de l’ocupació.</t>
  </si>
  <si>
    <t xml:space="preserve">Telefònica </t>
  </si>
  <si>
    <t>Llegenda:</t>
  </si>
  <si>
    <t>(1) Cal identificar l’enquesta o els altres procediments emprats, com per exemple grups de discussió, informes de comissions, etc.</t>
  </si>
  <si>
    <t>(2) Inclou: PAT, serveis d’orientació professional, serveis bibliotecaris, instal·lacions docents i altres serveis especialitzats.</t>
  </si>
  <si>
    <t>Nre. PDI</t>
  </si>
  <si>
    <t>% PDI doctor</t>
  </si>
  <si>
    <t>% Hores impartides PDI doctor</t>
  </si>
  <si>
    <t>Mitjana edat</t>
  </si>
  <si>
    <t>% dones</t>
  </si>
  <si>
    <t xml:space="preserve">Font: Elaboració pròpia. ACRG15: Perfil general del professorat de les titulacions de grau per categoria, edat i sexe.
ACRM13: Perfil general del professorat de les titulacions de grau per categoria, edat i sexe.
</t>
  </si>
  <si>
    <t>Categoria</t>
  </si>
  <si>
    <t>% PDI</t>
  </si>
  <si>
    <t>Total  Nre. PDI</t>
  </si>
  <si>
    <t>% Hores impartides</t>
  </si>
  <si>
    <t>Total Hores Impartides</t>
  </si>
  <si>
    <t>No Doctor</t>
  </si>
  <si>
    <t>Doctor</t>
  </si>
  <si>
    <t>Professor Agregat</t>
  </si>
  <si>
    <t>Professor Adjunt</t>
  </si>
  <si>
    <t>Professor Ajudant</t>
  </si>
  <si>
    <t>Professor col·laborador</t>
  </si>
  <si>
    <t>Permanents 1</t>
  </si>
  <si>
    <t>Permanents 2</t>
  </si>
  <si>
    <t>Lectors</t>
  </si>
  <si>
    <t>Associats</t>
  </si>
  <si>
    <t>Altres</t>
  </si>
  <si>
    <r>
      <t>% Professorat acreditat</t>
    </r>
    <r>
      <rPr>
        <sz val="8"/>
        <color theme="1"/>
        <rFont val="Calibri"/>
        <family val="2"/>
        <scheme val="minor"/>
      </rPr>
      <t> </t>
    </r>
  </si>
  <si>
    <t>Doctors</t>
  </si>
  <si>
    <t>No doctors</t>
  </si>
  <si>
    <t>ACRM14: Professorat i hores impartides segons categoria del PDI i doctorat en estudis de màster.</t>
  </si>
  <si>
    <t>Permanents 1: professorat permanent per al qual és necessari ser doctor (CC, CU, CEU, TU, agregat i assimilables en centres privats).</t>
  </si>
  <si>
    <t>Permanents 2: professorat permanent per al qual no és necessari ser doctor (TEU, col·laboradors i assimilables en centres privats).</t>
  </si>
  <si>
    <r>
      <t>Altres:</t>
    </r>
    <r>
      <rPr>
        <sz val="10.5"/>
        <color theme="1"/>
        <rFont val="Calibri"/>
        <family val="2"/>
        <scheme val="minor"/>
      </rPr>
      <t xml:space="preserve"> </t>
    </r>
    <r>
      <rPr>
        <sz val="8"/>
        <color rgb="FF000000"/>
        <rFont val="Verdana"/>
        <family val="2"/>
      </rPr>
      <t>professorat visitant, becaris, etc.</t>
    </r>
  </si>
  <si>
    <t>El professorat funcionari (CU, TU, CEU i TEU) es considerarà acreditat</t>
  </si>
  <si>
    <t>Id Assignatura</t>
  </si>
  <si>
    <t>Assignatura</t>
  </si>
  <si>
    <t>Curs</t>
  </si>
  <si>
    <t>Tipus</t>
  </si>
  <si>
    <t>ECTS</t>
  </si>
  <si>
    <t>Alumnes matriculats</t>
  </si>
  <si>
    <t>Professor</t>
  </si>
  <si>
    <t>Hores impartides</t>
  </si>
  <si>
    <t>% ECTS</t>
  </si>
  <si>
    <t>Nre. Grups</t>
  </si>
  <si>
    <t>1r</t>
  </si>
  <si>
    <t>Formació bàsica</t>
  </si>
  <si>
    <t>Professor agregat</t>
  </si>
  <si>
    <t>Dr. Xavier Franch</t>
  </si>
  <si>
    <t>Professor col·laborador doctor acreditat</t>
  </si>
  <si>
    <t>2n</t>
  </si>
  <si>
    <t>Sr. Joaquim Guasch</t>
  </si>
  <si>
    <t>Professor col·laborador llicenciat</t>
  </si>
  <si>
    <t>Professor adjunt</t>
  </si>
  <si>
    <t>Professor ajudant llicenciat</t>
  </si>
  <si>
    <t>Jocs i habilitats motrius bàsiques</t>
  </si>
  <si>
    <t>Obligatòria</t>
  </si>
  <si>
    <t>Dansa i expressió corporal</t>
  </si>
  <si>
    <t>Activitat Física a la natura</t>
  </si>
  <si>
    <t>3r</t>
  </si>
  <si>
    <t>Esports aquàtics</t>
  </si>
  <si>
    <t>Sr. Xavier Nadal</t>
  </si>
  <si>
    <t>Professor col·laborador graduat</t>
  </si>
  <si>
    <t>Ampliació dels esports</t>
  </si>
  <si>
    <t>Teoria de l'entrenament II</t>
  </si>
  <si>
    <t>Teoria de l'entrenament III</t>
  </si>
  <si>
    <t>4t</t>
  </si>
  <si>
    <t>Primers auxilis</t>
  </si>
  <si>
    <t>Professor col·laborador doctor</t>
  </si>
  <si>
    <t>Mitjans i mètodes de recuperació</t>
  </si>
  <si>
    <t>Bases econòmic-financeres i de contractació</t>
  </si>
  <si>
    <t>Instal·lacions esportives</t>
  </si>
  <si>
    <t>Recreació, oci i turisme</t>
  </si>
  <si>
    <t>Optativa</t>
  </si>
  <si>
    <t>Treball de Fi de Grau</t>
  </si>
  <si>
    <t>Pràctiques externes</t>
  </si>
  <si>
    <t>Explica els continguts amb claredat.</t>
  </si>
  <si>
    <t>Compleix amb l'horari de classe i d'atenció personalitzada fora de l'aula.</t>
  </si>
  <si>
    <t>Globalment considero que és un/a bon/a professor/a</t>
  </si>
  <si>
    <t>Pregunta</t>
  </si>
  <si>
    <t>SUPORT AL PROFESSORAT</t>
  </si>
  <si>
    <t>Codi</t>
  </si>
  <si>
    <t>Activitat</t>
  </si>
  <si>
    <t>Hores</t>
  </si>
  <si>
    <t>Data inici</t>
  </si>
  <si>
    <t>Data final</t>
  </si>
  <si>
    <t xml:space="preserve">Curs </t>
  </si>
  <si>
    <t>Nom projecte</t>
  </si>
  <si>
    <t>Inici</t>
  </si>
  <si>
    <t>Fi</t>
  </si>
  <si>
    <t>Coordinador</t>
  </si>
  <si>
    <t>Participants</t>
  </si>
  <si>
    <t>PDI</t>
  </si>
  <si>
    <t>Durada (dies)</t>
  </si>
  <si>
    <t>País de destí</t>
  </si>
  <si>
    <t>Institució de destí</t>
  </si>
  <si>
    <t>Anatomia I</t>
  </si>
  <si>
    <t>Dra. Núria Besalduch</t>
  </si>
  <si>
    <t>Dra. Míriam Ejarque</t>
  </si>
  <si>
    <t>Sr. Jordi Castellano</t>
  </si>
  <si>
    <t>Professor ajudant graduat</t>
  </si>
  <si>
    <t>Anatomia II</t>
  </si>
  <si>
    <t>Fisiologia I</t>
  </si>
  <si>
    <t xml:space="preserve">Física </t>
  </si>
  <si>
    <t>Dr. Pere Panisello</t>
  </si>
  <si>
    <t>Bases de comunicació i ètica</t>
  </si>
  <si>
    <t>Dra. Marta Hernández</t>
  </si>
  <si>
    <t>Bases de documentació i educació</t>
  </si>
  <si>
    <t>Sra. Elsa Pla</t>
  </si>
  <si>
    <t>Fonaments de fisioteràpia</t>
  </si>
  <si>
    <t>Sra. Tània Perales</t>
  </si>
  <si>
    <t>Procediments generals en fisioteràpia I</t>
  </si>
  <si>
    <t>Procediments generals en fisioteràpia II</t>
  </si>
  <si>
    <t>Valoració en fisioteràpia I</t>
  </si>
  <si>
    <t>Sr. Joaquim Renau</t>
  </si>
  <si>
    <t>Fisiologia II</t>
  </si>
  <si>
    <t>Dr. Amat Ortí</t>
  </si>
  <si>
    <t>Patologia quirúrgica</t>
  </si>
  <si>
    <t>Biomecànica clínica</t>
  </si>
  <si>
    <t>Psicologia</t>
  </si>
  <si>
    <t>Fisioterapia Integrada I</t>
  </si>
  <si>
    <t>Bioestadística</t>
  </si>
  <si>
    <t>Procediments generals en fisioteràpia III</t>
  </si>
  <si>
    <t>Sr. Francesc Múria</t>
  </si>
  <si>
    <t>Cinesiteràpia</t>
  </si>
  <si>
    <t>Mètodes específics  d'Intervenció en Fisioteràpia I</t>
  </si>
  <si>
    <t>Valoració en fisioteràpia II</t>
  </si>
  <si>
    <t>Sra. Alba Aixendri</t>
  </si>
  <si>
    <t>Fisioteràpia en especialitats clíniques I</t>
  </si>
  <si>
    <t>Sra. Yolanda Vergés</t>
  </si>
  <si>
    <t>Pràctiques clíniques I</t>
  </si>
  <si>
    <t>Fisioteràpia cardiorespiratòria</t>
  </si>
  <si>
    <t>Sr. Jordi Resa</t>
  </si>
  <si>
    <t>Fisioteràpia integrada II</t>
  </si>
  <si>
    <t>Mètodes específics d'intervenció en fisioteràpia  III</t>
  </si>
  <si>
    <t>Sr. Laura Miralles</t>
  </si>
  <si>
    <t xml:space="preserve">Radiologia </t>
  </si>
  <si>
    <t xml:space="preserve">Farmacologia </t>
  </si>
  <si>
    <t>Dr. Xavier Ortín</t>
  </si>
  <si>
    <t>Fisioteràpia en especialitats clíniques II</t>
  </si>
  <si>
    <t>Mètodes específics d'intervenció en fisioteràpia  II</t>
  </si>
  <si>
    <t>Patologia mèdica</t>
  </si>
  <si>
    <t>Pràctiques clíniques II</t>
  </si>
  <si>
    <t>Rehabilitació i terapèutiques associades</t>
  </si>
  <si>
    <t>Sr. Juan Francisco Sales</t>
  </si>
  <si>
    <t>Desenvolupament d'un projecte de recerca</t>
  </si>
  <si>
    <t>Nutrició i activitat física</t>
  </si>
  <si>
    <t>Fisioteràpia de L’Esport I</t>
  </si>
  <si>
    <t xml:space="preserve">Legislació Sanitària </t>
  </si>
  <si>
    <t>Salut Pública</t>
  </si>
  <si>
    <t>Organització i Gestió Sanitaria</t>
  </si>
  <si>
    <t xml:space="preserve">  4t</t>
  </si>
  <si>
    <t>Fisioteràpia Integrada III</t>
  </si>
  <si>
    <t>Fisioteràpia Hospitalària</t>
  </si>
  <si>
    <t>Fisioteràpia Geriàtrica</t>
  </si>
  <si>
    <t>Fisioteràpia Domiciliària</t>
  </si>
  <si>
    <t>Atenció Primària</t>
  </si>
  <si>
    <t>Pràctiques opcional</t>
  </si>
  <si>
    <t>Introducció a la teràpia manipulativa perifèrica</t>
  </si>
  <si>
    <t>Ergonomia aplicada</t>
  </si>
  <si>
    <t>Fisioteràpia i Envelliment</t>
  </si>
  <si>
    <t>Tècniques específiques en fisioteràpia</t>
  </si>
  <si>
    <t>Fisioteràpia de l’Esport</t>
  </si>
  <si>
    <t>Nº estudiants tutoritzats</t>
  </si>
  <si>
    <t>Nº de tutors que té el centre i les titulacions</t>
  </si>
  <si>
    <t>Ràtio d'estudiants per tutor</t>
  </si>
  <si>
    <t>Font: Moodle</t>
  </si>
  <si>
    <t>Estudiants que han emplenat fitxa de perfil</t>
  </si>
  <si>
    <t>Estudiants que han participant a les tutories</t>
  </si>
  <si>
    <t>Nº</t>
  </si>
  <si>
    <t>%</t>
  </si>
  <si>
    <t>Nº de tutors/es totals</t>
  </si>
  <si>
    <t>Nº fitxes seguiment</t>
  </si>
  <si>
    <t>Tipus de tutories</t>
  </si>
  <si>
    <t>Indiv.</t>
  </si>
  <si>
    <t>Grup</t>
  </si>
  <si>
    <t>Presencial</t>
  </si>
  <si>
    <t>Font: Moodle i Fitxes de Seguiment</t>
  </si>
  <si>
    <t xml:space="preserve">ORIENTACIÓ PROFESSIONAL </t>
  </si>
  <si>
    <t>Taller</t>
  </si>
  <si>
    <t>Assistents</t>
  </si>
  <si>
    <t>Satisfacció</t>
  </si>
  <si>
    <t>Font: OOU URV</t>
  </si>
  <si>
    <t>MOBILITAT DELS ESTUDIANTS</t>
  </si>
  <si>
    <t>Tipus de programa</t>
  </si>
  <si>
    <t>País</t>
  </si>
  <si>
    <t>Universitat / Empresa</t>
  </si>
  <si>
    <t>Erasmus</t>
  </si>
  <si>
    <t>Itàlia</t>
  </si>
  <si>
    <t>Università degli Studi di Foggia</t>
  </si>
  <si>
    <t>Università degli Studi di Palermo</t>
  </si>
  <si>
    <t>Portugal</t>
  </si>
  <si>
    <t>Instituto Politécnico de Santarém</t>
  </si>
  <si>
    <t>MOU</t>
  </si>
  <si>
    <t>Andorra</t>
  </si>
  <si>
    <t>EMAP S.A.U.</t>
  </si>
  <si>
    <t>Font: URV en xifres. Mobilitat OUT</t>
  </si>
  <si>
    <t>Font: URV en xifres. Mobilitat IN</t>
  </si>
  <si>
    <t>Nombre espais</t>
  </si>
  <si>
    <t>Alumnes actius (%)</t>
  </si>
  <si>
    <t>Àmbit</t>
  </si>
  <si>
    <t>Tutories acadèmiques</t>
  </si>
  <si>
    <t>Instal·lacions</t>
  </si>
  <si>
    <t>Estic satisfet/a amb l'ús de l'Entorn Virtual de Formació (Moodle) per part del professorat de l’assignatura</t>
  </si>
  <si>
    <t>La disponibilitat de la bibliografia recomanada a l’assignatura és suficient</t>
  </si>
  <si>
    <t>Les condicions d’aules, laboratoris i altres mitjans han permès un desenvolupament adequat de l’assignatura</t>
  </si>
  <si>
    <t>Les instal·lacions del campus han permès un desenvolupament adequat de l'assignatura</t>
  </si>
  <si>
    <t>Has trobat fàcilment al web la informació que necessites sobre la titulació?</t>
  </si>
  <si>
    <t>Font: Elaboració pròpia.</t>
  </si>
  <si>
    <t>Participació</t>
  </si>
  <si>
    <t xml:space="preserve">Mitjana pregunta </t>
  </si>
  <si>
    <t>Potencials</t>
  </si>
  <si>
    <t>Font: Estudi de primer curs primer quadrimestre. Adreçat als estudiants de nou accés.</t>
  </si>
  <si>
    <t>Font: Estudi de Percepció de la Docència de 2n i 3r curs.</t>
  </si>
  <si>
    <t>Sí (80%)</t>
  </si>
  <si>
    <t>Sí (100%)</t>
  </si>
  <si>
    <t>Font: Estudi de Percepció de la Docència de 4t curs.</t>
  </si>
  <si>
    <t xml:space="preserve">Grau en Fisioteràpia </t>
  </si>
  <si>
    <t>Tipus crèdit</t>
  </si>
  <si>
    <t>Durada</t>
  </si>
  <si>
    <t>Estudiants assignatura</t>
  </si>
  <si>
    <t>Tipus convocatòria</t>
  </si>
  <si>
    <t>Notes Estudiants</t>
  </si>
  <si>
    <t>APROVAT</t>
  </si>
  <si>
    <t>NO PRESENTAT</t>
  </si>
  <si>
    <t>NOTABLE</t>
  </si>
  <si>
    <t>SUSPENS</t>
  </si>
  <si>
    <t>EXCEL·LENT</t>
  </si>
  <si>
    <t>MATRÍCULA D'HONOR</t>
  </si>
  <si>
    <t>Anatomia aplicada a l'activitat física i l'esport</t>
  </si>
  <si>
    <t>Semestral</t>
  </si>
  <si>
    <t>1ª i 2ª convocatòria</t>
  </si>
  <si>
    <t>Aprenentatge i desenvolupament motor</t>
  </si>
  <si>
    <t>Esports d’adversari:</t>
  </si>
  <si>
    <t>Esports individuals: Atletisme</t>
  </si>
  <si>
    <t>Fisiologia de l'exercici I</t>
  </si>
  <si>
    <t>Història i fonaments socioculturals de l’activitat física i l’esport</t>
  </si>
  <si>
    <t>Jocs i habilitats motrius</t>
  </si>
  <si>
    <t>Psicologia aplicada a l'activitat física i l'esport</t>
  </si>
  <si>
    <t xml:space="preserve">Fisiologia de l'exercici 2 </t>
  </si>
  <si>
    <t xml:space="preserve">Kinesiologia i biomecànica del moviment </t>
  </si>
  <si>
    <t xml:space="preserve">Principis didàctics de l'activitat física i l'esport </t>
  </si>
  <si>
    <t xml:space="preserve">Programació en els ensenyaments en el sistema educatiu </t>
  </si>
  <si>
    <t>Esports Col·lectius</t>
  </si>
  <si>
    <t xml:space="preserve">Esports Aquàtics </t>
  </si>
  <si>
    <t xml:space="preserve">Teoria de l'Entrenament I </t>
  </si>
  <si>
    <t xml:space="preserve">Estadística i metodologia de la investigació aplicada a l'activitat física </t>
  </si>
  <si>
    <t xml:space="preserve">Legislació esportiva i direcció de sistemes i organitzacions </t>
  </si>
  <si>
    <t>Activitat Física en la naturalesa</t>
  </si>
  <si>
    <t>Teoria de l'Entrenament II</t>
  </si>
  <si>
    <t>Prescripció de l'exercici física per a la salut</t>
  </si>
  <si>
    <t>Nutrició aplicada a l'activitat física i l'esport</t>
  </si>
  <si>
    <t>Activitat física i de l'esport per a persones amb alguna discapacitat</t>
  </si>
  <si>
    <t>Disseny, intervenció i avaluació en l'educació física i l'esport</t>
  </si>
  <si>
    <t>Noves tendències en l'entrenament esportiu</t>
  </si>
  <si>
    <t>Noves tendències en l’ensenyament de l’activitat física i l’esport</t>
  </si>
  <si>
    <t>Noves tendències en la gestió i recreació esportiva</t>
  </si>
  <si>
    <t>Noves tendències en l’activitat física i qualitat de vida</t>
  </si>
  <si>
    <t>1ª convocatòria</t>
  </si>
  <si>
    <t>Treball de fi de grau</t>
  </si>
  <si>
    <t>TOTAL GRAU</t>
  </si>
  <si>
    <t>Total 1r Curs</t>
  </si>
  <si>
    <t>Font: URV en xifres. Informes: Elaboració Pròpia</t>
  </si>
  <si>
    <t>ACRG12. Rendiment acadèmic per assignatura (per convocatòria)</t>
  </si>
  <si>
    <t>ACRM10. Rendiment acadèmic per assignatura (per convocatòria)</t>
  </si>
  <si>
    <t>Taxa d’èxit</t>
  </si>
  <si>
    <t>Taxa de rendiment</t>
  </si>
  <si>
    <t>ACRG10 - Assignatures segons taxa d'èxit i taxa de rendiment</t>
  </si>
  <si>
    <t>ACRM08 - Assignatures segons taxa d'èxit i taxa de rendiment</t>
  </si>
  <si>
    <t>Taxa de rendiment acadèmic</t>
  </si>
  <si>
    <t>Taxa de rendiment acadèmic a 1r curs</t>
  </si>
  <si>
    <t>Taxa d’abandonament</t>
  </si>
  <si>
    <t>Taxa d'abandonament a 1r</t>
  </si>
  <si>
    <t>Taxa d'èxit</t>
  </si>
  <si>
    <t>Taxa de graduació en t</t>
  </si>
  <si>
    <t>Taxa de graduació  en t+1</t>
  </si>
  <si>
    <t>Taxa d’eficiència</t>
  </si>
  <si>
    <t>Durada mitjana dels estudis</t>
  </si>
  <si>
    <t>4 anys</t>
  </si>
  <si>
    <t>4,31 anys</t>
  </si>
  <si>
    <t>4,36 anys</t>
  </si>
  <si>
    <t>4,38 anys</t>
  </si>
  <si>
    <t>ACRG07 - Resultats acadèmics</t>
  </si>
  <si>
    <t>ACRG09 - Resultats acadèmics de 1r curs</t>
  </si>
  <si>
    <t>ACRG11 - Titulats de grau</t>
  </si>
  <si>
    <t>ACRG13 - Taxa d’abandonament de grau</t>
  </si>
  <si>
    <t>ACRG14 – Taxa de graduació de grau</t>
  </si>
  <si>
    <t>ACRM05 - Resultats acadèmics</t>
  </si>
  <si>
    <t>ACRM07 - Resultats acadèmics de 1er curs</t>
  </si>
  <si>
    <t>ACRM09 - Titulats de màster</t>
  </si>
  <si>
    <t>ACRM11 - Taxa d’abandonament de màster</t>
  </si>
  <si>
    <t>ACRM12 - Taxa de graduació de màster</t>
  </si>
  <si>
    <t>Centre</t>
  </si>
  <si>
    <t>Número d’estudiants</t>
  </si>
  <si>
    <t>1.El procés d’assignació de les PE és adequat.</t>
  </si>
  <si>
    <t>2.Al començar les pràctiques tinc la informació adient per saber que faré.</t>
  </si>
  <si>
    <t>3.Al començar les pràctiques tinc la informació adient per saber com m’avaluaran.</t>
  </si>
  <si>
    <t xml:space="preserve">4.El volum de treball d’aquesta assignatura és l’adequat.  </t>
  </si>
  <si>
    <t xml:space="preserve">5.El seguiment de les pràctiques per part del tutor professional és adequat. </t>
  </si>
  <si>
    <t>7.El seguiment de les pràctiques per part del tutor acadèmic és adequat.</t>
  </si>
  <si>
    <t>2018-2019</t>
  </si>
  <si>
    <t>Sistema d’avaluació</t>
  </si>
  <si>
    <t>Esports d’adversari</t>
  </si>
  <si>
    <t>Esports individuals: Atletisme I</t>
  </si>
  <si>
    <t>Esports Col·lectius: Futbol I</t>
  </si>
  <si>
    <t>Esports Col·lectius: Handbol</t>
  </si>
  <si>
    <t>Global titulació</t>
  </si>
  <si>
    <t>Càrrega de treball</t>
  </si>
  <si>
    <t>ANATOMIA I</t>
  </si>
  <si>
    <t>ANATOMIA II</t>
  </si>
  <si>
    <t>BASES DE COMUNICACIÓ I ÈTICA</t>
  </si>
  <si>
    <t>BASES DE DOCUMENTACIÓ I EDUCACIÓ</t>
  </si>
  <si>
    <t>FÍSICA PER FISIOTERÀPIA I BIOMECÀNICA</t>
  </si>
  <si>
    <t>FISIOLOGIA I</t>
  </si>
  <si>
    <t>FONAMENTS DE FISIOTERÀPIA</t>
  </si>
  <si>
    <t>PROCEDIMENTS GENERALS EN FISIOTERÀPIA I</t>
  </si>
  <si>
    <t>PROCEDIMENTS GENERALS EN FISIOTERÀPIA II</t>
  </si>
  <si>
    <t>VALORACIÓ EN FISIOTERÀPIA I</t>
  </si>
  <si>
    <t>BIOESTADÍSTICA</t>
  </si>
  <si>
    <t>BIOMECÀNICA CLÍNICA</t>
  </si>
  <si>
    <t>CINESITERÀPIA</t>
  </si>
  <si>
    <t>FISIOLOGIA II</t>
  </si>
  <si>
    <t>FISIOTERÀPIA EN ESPECIALITATS CLÍNIQUES I</t>
  </si>
  <si>
    <t>FISIOTERÀPIA INTEGRADA I</t>
  </si>
  <si>
    <t>MÈTODES ESPECÍFICS DE INTERVENCIÓ EN FISIOTERÀPIA I</t>
  </si>
  <si>
    <t>PATOLOGIA QUIRÚRGICA</t>
  </si>
  <si>
    <t>PRÀCTIQUES CLÍNIQUES I</t>
  </si>
  <si>
    <t>PROCEDIMENTS GENERALS EN FISIOTERÀPIA III</t>
  </si>
  <si>
    <t>PSICOLOGIA</t>
  </si>
  <si>
    <t>VALORACIÓ EN FISIOTERÀPIA II</t>
  </si>
  <si>
    <t>FISIOTERÀPIA CARDIORESPIRATÒRIA</t>
  </si>
  <si>
    <t>MÈTODES ESPECÍFICS DE INTERVENCIÓ EN FISIOTERÀPIA II</t>
  </si>
  <si>
    <t>FISIOTERÀPIA INTEGRADA II</t>
  </si>
  <si>
    <t>MÈTODES ESPECÍFICS DE INTERVENCIÓ EN FISIOTERÀPIA III</t>
  </si>
  <si>
    <t>RADIOLOGIA</t>
  </si>
  <si>
    <t>FARMACOLOGIA</t>
  </si>
  <si>
    <t>FISIOTERÀPIA EN ESPECIALITATS CLÍNIQUES II</t>
  </si>
  <si>
    <t>FISIOTERÀPIA EN ESPECIALITATS CLÍNIQUES II (Pla 2019)</t>
  </si>
  <si>
    <t>2ª i 2ª convocatòria</t>
  </si>
  <si>
    <t>PATOLOGIA MÈDICA</t>
  </si>
  <si>
    <t>PRÀCTIQUES CLÍNIQUES II</t>
  </si>
  <si>
    <t>REHABILITACIÓ I TERAPÈUTIQUES ASSOCIADES</t>
  </si>
  <si>
    <t>MANEIG DEL DOLOR</t>
  </si>
  <si>
    <t>DISENY I GESTIÓ D'UN PROJECTE DE RECERCA</t>
  </si>
  <si>
    <t>NUTRICIÓ I ACTIVITAT FÍSICA</t>
  </si>
  <si>
    <t>PRÀCTIQUES TUTELADES OPCIONAL: INVESTIGACIÓ, ESPORT, HIDROTERÀPIA, EXT</t>
  </si>
  <si>
    <t>FISIOTERÀPIA GERIÀTRICA</t>
  </si>
  <si>
    <t>FISIOTERÀPIA HOSPITALÀRIA</t>
  </si>
  <si>
    <t>FISIOTERÀPIA DOMICILIÀRIA</t>
  </si>
  <si>
    <t>FISIOTERÀPIA EN ATENCIÓ PRIMÀRIA</t>
  </si>
  <si>
    <t>TFG</t>
  </si>
  <si>
    <t>FISIOTERÀPIA DE L'ESPORT I</t>
  </si>
  <si>
    <t>LEGISLACIÓ SANITÀRIA</t>
  </si>
  <si>
    <t>SALUT PÚBLICA</t>
  </si>
  <si>
    <t>ORGANITZACIÓ I GESTIÓ SANITÀRIA</t>
  </si>
  <si>
    <t>FISIOTERÀPIA INTEGRADA III</t>
  </si>
  <si>
    <t>INTRODUCCIÓ A LA TERÀPIA MANIPULATIVA PERIFÈRICA</t>
  </si>
  <si>
    <t>ERGONOMIA APLICADA</t>
  </si>
  <si>
    <t>FISIOTERÀPIA I ENVELLIMENT</t>
  </si>
  <si>
    <t>TÈCNIQUES ESPECÍFIQUES EN FISIOTERÀPIA</t>
  </si>
  <si>
    <t>TERÀPIES AFINS AL MANEIG DEL DOLOR</t>
  </si>
  <si>
    <t>FISIOTERÀPIA DE L'ESPORT</t>
  </si>
  <si>
    <t xml:space="preserve">Taxa de graduació en t  </t>
  </si>
  <si>
    <t>Taxa de graduació en t+1</t>
  </si>
  <si>
    <t>4,55 anys</t>
  </si>
  <si>
    <t>4,42 anys</t>
  </si>
  <si>
    <t>4,54 anys</t>
  </si>
  <si>
    <t>Tipologia</t>
  </si>
  <si>
    <t>Satisfacció global</t>
  </si>
  <si>
    <t>Física per a la fisioteràpia i biomecànica</t>
  </si>
  <si>
    <t>Fonaments de Fisioteràpia</t>
  </si>
  <si>
    <t xml:space="preserve">Bases de comunicació i ètica </t>
  </si>
  <si>
    <t xml:space="preserve">Bases de documentació i educació </t>
  </si>
  <si>
    <t xml:space="preserve">Procediments generals en fisioteràpia II </t>
  </si>
  <si>
    <t xml:space="preserve">Psicologia </t>
  </si>
  <si>
    <t xml:space="preserve">Patologia quirúrgica </t>
  </si>
  <si>
    <t>Mètodes específics d'intervenció en fisioteràpia I</t>
  </si>
  <si>
    <t>Fisioteràpia integrada I</t>
  </si>
  <si>
    <t xml:space="preserve">Biomecànica clínica </t>
  </si>
  <si>
    <t>Mètodes específics d’intervenció en Fisioteràpia II</t>
  </si>
  <si>
    <t xml:space="preserve">Rehabilitació i terapèutiques associades </t>
  </si>
  <si>
    <t xml:space="preserve">Patologia mèdica </t>
  </si>
  <si>
    <t xml:space="preserve">Maneig del dolor </t>
  </si>
  <si>
    <t>Teràpies afins en el maneig del dolor</t>
  </si>
  <si>
    <t>Salut pública</t>
  </si>
  <si>
    <t>Introducció a la terapia manual manipulativa perifèrica</t>
  </si>
  <si>
    <t>Legislació sanitària</t>
  </si>
  <si>
    <t>Organització i gestió sanitària</t>
  </si>
  <si>
    <t>Fisioteràpia i envelliment</t>
  </si>
  <si>
    <t>Fisioteràpia integrada III</t>
  </si>
  <si>
    <t>Tècniques específiques en fisioteràpia</t>
  </si>
  <si>
    <t>1. El perfil d'ingrés dels estudiants</t>
  </si>
  <si>
    <t>2. L'estructura del pla d'estudis (matèries i el seu pes)</t>
  </si>
  <si>
    <t>3. El perfil de competències en la titulació</t>
  </si>
  <si>
    <t>4. L'organització del desplegament del pla d'estudis (grups, horaris, etc.)</t>
  </si>
  <si>
    <t>5. Les metodologies docents que heu utilitzat</t>
  </si>
  <si>
    <t>6. Els sistemes d'avaluació que heu utilitzat</t>
  </si>
  <si>
    <t>7. El treball i la dedicació dels estudiants</t>
  </si>
  <si>
    <t>8. Els recursos docents disponibles</t>
  </si>
  <si>
    <t>9. El suport institucional per al desenvolupament de l'activitat docent (Campus Virtual, CRAI...)</t>
  </si>
  <si>
    <t>10. La coordinació amb la resta de docents de la titulació</t>
  </si>
  <si>
    <t>11. Les condicions i la qualitat de les instal·lacions</t>
  </si>
  <si>
    <t>12. L'organització i l'avaluació dels Treballs Fi de Grau (TFG)</t>
  </si>
  <si>
    <t>13. L'organització i l'avaluació de les pràctiques externes</t>
  </si>
  <si>
    <t>14. El rendiment acadèmic obtingut pels estudiants de les matèries que heu impartit</t>
  </si>
  <si>
    <t>15. El nivell formatiu assolit pels estudiants quan es titulen</t>
  </si>
  <si>
    <t>16. La vostra satisfacció amb la titulació</t>
  </si>
  <si>
    <t>Font: Enquesta satisfacció professorat</t>
  </si>
  <si>
    <t>França</t>
  </si>
  <si>
    <t>La Clinique du Parc</t>
  </si>
  <si>
    <t>Centre Hospitalier d'Avignon</t>
  </si>
  <si>
    <t>Centre Hospitalier Intercommunales Aix- Pertuis</t>
  </si>
  <si>
    <t>Clinique de l'Union - Ramsay Générale de Santé</t>
  </si>
  <si>
    <t>Centre Cerbère Bouffard Vercelli</t>
  </si>
  <si>
    <t>Has fet alguna tutoria amb el teu tutor/a?</t>
  </si>
  <si>
    <t>Has pogut parlar amb el tutor/a sempre que ho has necessitat?</t>
  </si>
  <si>
    <t>Has utilitzat l'espai de tutoria acadèmica a Moodle?</t>
  </si>
  <si>
    <t>Quan has hagut de fer un tràmit administratiu, t’ha estat fàcil saber-ne el procediment?</t>
  </si>
  <si>
    <t>Sí (85,71%)</t>
  </si>
  <si>
    <t>No (66,67%)</t>
  </si>
  <si>
    <t>No (75%)</t>
  </si>
  <si>
    <t>Graduats 
2016-17</t>
  </si>
  <si>
    <t>2019-2020</t>
  </si>
  <si>
    <t>DISPONIBILITAT, ÚS I ADEQUACIÓ DELS RECURSOS MATERIALS</t>
  </si>
  <si>
    <t>Tutories acadèmiques i Serveis de suport: URV en xifres/Enquestes qualitat docent/Resultat Enquestes/ENQ_S12 Valors estadístics sobre les preguntes de l’enquesta -&gt; Procés: Enquesta avaluació titulació inici/durant/final</t>
  </si>
  <si>
    <t>Instal·lacions: URV en xifres/Enquestes qualitat docent/Resultat Enquestes/ENQ_S12 Valors estadístics sobre les preguntes de l’enquesta -&gt; Procés: Enquesta avaluació professorat Grau</t>
  </si>
  <si>
    <t>Estructura i aprenentatge</t>
  </si>
  <si>
    <t>Voluntat de tornar a repetir el mateix títol</t>
  </si>
  <si>
    <t>Voluntat de tornar a estudiar a la mateixa universitat</t>
  </si>
  <si>
    <t>Grau en Fisioteràpia (71048) Pla 2012</t>
  </si>
  <si>
    <t>Taula 40.  Ús de les metodologies i sistema d’avaluació (*) per a cada assignatura, amb la mida del grup, distribució dels temps de treball de l’estudiant, amb presència del professor i treball autònom. Marcat amb blau aquelles que s’utilitzen per l’avaluació de l’assignatura</t>
  </si>
  <si>
    <t>Metodologia Docent</t>
  </si>
  <si>
    <t>Sistema d'avaluació</t>
  </si>
  <si>
    <t>Tipus Activitats d'Avaluació (hores)</t>
  </si>
  <si>
    <t>Codi Assignatura</t>
  </si>
  <si>
    <t>credits</t>
  </si>
  <si>
    <t>curs</t>
  </si>
  <si>
    <t>MD1</t>
  </si>
  <si>
    <t>MD2</t>
  </si>
  <si>
    <t>MD3</t>
  </si>
  <si>
    <t>MD4</t>
  </si>
  <si>
    <t>MD5</t>
  </si>
  <si>
    <t>MD6</t>
  </si>
  <si>
    <t>SA1</t>
  </si>
  <si>
    <t>SA2</t>
  </si>
  <si>
    <t>SA3</t>
  </si>
  <si>
    <t>SA4</t>
  </si>
  <si>
    <t>SA5</t>
  </si>
  <si>
    <t>SA6</t>
  </si>
  <si>
    <t>SA7</t>
  </si>
  <si>
    <t>SA8</t>
  </si>
  <si>
    <t>SA9</t>
  </si>
  <si>
    <t>SA10</t>
  </si>
  <si>
    <t>SA11</t>
  </si>
  <si>
    <t>SA12</t>
  </si>
  <si>
    <t>SA13</t>
  </si>
  <si>
    <t>SA14</t>
  </si>
  <si>
    <t xml:space="preserve">Mida de grups </t>
  </si>
  <si>
    <t>Nº total d'estudiants matriculats a l'assignatura</t>
  </si>
  <si>
    <t>TA1</t>
  </si>
  <si>
    <t>TA2</t>
  </si>
  <si>
    <t>TA3</t>
  </si>
  <si>
    <t>TA4</t>
  </si>
  <si>
    <t>TA5</t>
  </si>
  <si>
    <t>TA6</t>
  </si>
  <si>
    <t>TA7</t>
  </si>
  <si>
    <t>TA8</t>
  </si>
  <si>
    <t>TA9</t>
  </si>
  <si>
    <t>TA10</t>
  </si>
  <si>
    <t>TA11</t>
  </si>
  <si>
    <t>Amb professor</t>
  </si>
  <si>
    <t>Sense professor (Treball autònom)</t>
  </si>
  <si>
    <t>Hores Totals</t>
  </si>
  <si>
    <t>Primer</t>
  </si>
  <si>
    <t>37204002</t>
  </si>
  <si>
    <t>37204006</t>
  </si>
  <si>
    <t>37204003</t>
  </si>
  <si>
    <t>37204001</t>
  </si>
  <si>
    <t>37204112</t>
  </si>
  <si>
    <t>37204122</t>
  </si>
  <si>
    <t>Petit</t>
  </si>
  <si>
    <t>37204123</t>
  </si>
  <si>
    <t>37204132</t>
  </si>
  <si>
    <t>37204007</t>
  </si>
  <si>
    <t>Segon</t>
  </si>
  <si>
    <t>37204103</t>
  </si>
  <si>
    <t>37204101</t>
  </si>
  <si>
    <t>37204008</t>
  </si>
  <si>
    <t>37204108</t>
  </si>
  <si>
    <t>37204115</t>
  </si>
  <si>
    <t>37204119</t>
  </si>
  <si>
    <t>37204102</t>
  </si>
  <si>
    <t>Mitjà</t>
  </si>
  <si>
    <t>37204125</t>
  </si>
  <si>
    <t>37204124</t>
  </si>
  <si>
    <t>37204009</t>
  </si>
  <si>
    <t>37204133</t>
  </si>
  <si>
    <t>Tercer</t>
  </si>
  <si>
    <t>37204116</t>
  </si>
  <si>
    <t>Quart</t>
  </si>
  <si>
    <t>37204117</t>
  </si>
  <si>
    <t>37204118</t>
  </si>
  <si>
    <t>37204114</t>
  </si>
  <si>
    <t>37204130</t>
  </si>
  <si>
    <t>37204128</t>
  </si>
  <si>
    <t>37204127</t>
  </si>
  <si>
    <t>37204129</t>
  </si>
  <si>
    <t>37204131</t>
  </si>
  <si>
    <t>37204301</t>
  </si>
  <si>
    <t xml:space="preserve">37204210  </t>
  </si>
  <si>
    <t>37204205</t>
  </si>
  <si>
    <t>37204206</t>
  </si>
  <si>
    <t>Crèdits</t>
  </si>
  <si>
    <t>Tipus Activitats (hores)</t>
  </si>
  <si>
    <t>MD7</t>
  </si>
  <si>
    <t>MD8</t>
  </si>
  <si>
    <t>MD9</t>
  </si>
  <si>
    <t>MD10</t>
  </si>
  <si>
    <t>MD11</t>
  </si>
  <si>
    <t>MD12</t>
  </si>
  <si>
    <t>MD13</t>
  </si>
  <si>
    <t>MD14</t>
  </si>
  <si>
    <t>MD15</t>
  </si>
  <si>
    <t>MD16</t>
  </si>
  <si>
    <t>MD17</t>
  </si>
  <si>
    <t>37214001</t>
  </si>
  <si>
    <t>37214006</t>
  </si>
  <si>
    <t>37214102</t>
  </si>
  <si>
    <t>37214106</t>
  </si>
  <si>
    <t>Tennis</t>
  </si>
  <si>
    <t>37214104</t>
  </si>
  <si>
    <t>37214002</t>
  </si>
  <si>
    <t>37214010</t>
  </si>
  <si>
    <t>37214101</t>
  </si>
  <si>
    <t>37214005</t>
  </si>
  <si>
    <t>Futbol</t>
  </si>
  <si>
    <t>Handbol</t>
  </si>
  <si>
    <t>Futbol II</t>
  </si>
  <si>
    <t>Noves tendències</t>
  </si>
  <si>
    <t>Teoria de l'Entrenament III</t>
  </si>
  <si>
    <t>Noves tendències en l'ensenyament de l'activitat física i l'esport</t>
  </si>
  <si>
    <t>Noves tendències en l'activitat física i qualitat de vida</t>
  </si>
  <si>
    <t>Font: URV en xifres/Enquestes qualitat docent/Resultat Enquestes/ENQ_S12 Valors estadístics sobre les preguntes de l’enquesta -&gt; Procés: Enquesta pràctiques externes de grau</t>
  </si>
  <si>
    <t>Font: URV en xifres/Enquestes qualitat docent/Resultat Enquestes/ENQ_S12 Valors estadístics sobre les preguntes de l’enquesta -&gt; Procés: Enquesta Treball Final de Grau</t>
  </si>
  <si>
    <t>Font: URV en xifres/Enquestes qualitat docent/Resultat Enquestes/ENQ_S12 Valors estadístics sobre les preguntes de l’enquesta -&gt; Procés: Enquesta avaluació professorat grau</t>
  </si>
  <si>
    <t xml:space="preserve">El volum de treball exigit ha estat coherent amb el nombre de crèdits de les assignatures </t>
  </si>
  <si>
    <t xml:space="preserve">Estic satisfet/a amb el professorat </t>
  </si>
  <si>
    <t xml:space="preserve">La metodologia docent emprada pel professorat ha afavorit el meu aprenentatge </t>
  </si>
  <si>
    <t xml:space="preserve">Els sistemes d'avaluació han permès reflectir adequadament el meu aprenentatge </t>
  </si>
  <si>
    <t xml:space="preserve">Estic satisfet amb la titulació </t>
  </si>
  <si>
    <t xml:space="preserve">La tutorització ha estat útil i ha contribuït a millorar el meu aprenentatge </t>
  </si>
  <si>
    <t xml:space="preserve">L’ús del campus virtual ha facilitat el meu aprenentatge </t>
  </si>
  <si>
    <t>Les instal·lacions (aules i espais docents) han estat adequades per afavorir el meu aprenentatge</t>
  </si>
  <si>
    <t>Els recursos facilitats pel serveis de biblioteca i de suport a la docència han respost a les meves necessitats</t>
  </si>
  <si>
    <t>Els serveis de suport a l'estudiant (informació, matriculació, tràmits acadèmics, beques, orientació, etc.) m'han ofert un bon assessorament i atenció</t>
  </si>
  <si>
    <t>He rebut resposta adequada de les meves queixes i suggeriments</t>
  </si>
  <si>
    <t>La informació referent a la titulació al web és accessible i m’ha resultat útil</t>
  </si>
  <si>
    <t xml:space="preserve">L'estructura del pla d'estudis ha permès una progressió adequada del meu aprenentatge </t>
  </si>
  <si>
    <t xml:space="preserve">Hi ha hagut bona coordinació en els continguts de les assignatures per evitar solapaments </t>
  </si>
  <si>
    <t>Font: Enquesta de satisfacció dels titulats recents de grau (AQU Catalunya)</t>
  </si>
  <si>
    <t>Taxa d'ocupació dels graduats (en %)</t>
  </si>
  <si>
    <t>Graduats amb una feina relacionada amb el que han estudiat (en %)</t>
  </si>
  <si>
    <t>Aturat/da</t>
  </si>
  <si>
    <t>Inactiu/va</t>
  </si>
  <si>
    <t>Ocupat/ada</t>
  </si>
  <si>
    <t>Funcions específiques de la titulació</t>
  </si>
  <si>
    <t>Funcions no universitàries</t>
  </si>
  <si>
    <t>Funcions universitàries</t>
  </si>
  <si>
    <t>Font: URV en xifres. ACRG16:Professorat i hores impartides segons categoria del PDI i doctorat en estudis de grau.</t>
  </si>
  <si>
    <t>Nombre PDI ETC (24 ECTS)</t>
  </si>
  <si>
    <t>Estudiants ETC</t>
  </si>
  <si>
    <t>Ràtio Estudiants ETC – PDI ETC</t>
  </si>
  <si>
    <t>Instituto Universitario Amerike</t>
  </si>
  <si>
    <t>Mèxic</t>
  </si>
  <si>
    <t>Taula 1.1.b. Evolució dels estudiants matriculats per promocions Grau en Fisioteràpia</t>
  </si>
  <si>
    <t>Taula 1.1.a. Evolució dels estudiants matriculats per promocions Grau en CAFE</t>
  </si>
  <si>
    <t>Taula 1.1.c. Evolució dels estudiants matriculats per promocions Doble Titulació</t>
  </si>
  <si>
    <t>Taula 9. Alumnes matriculats segons edat i gènere</t>
  </si>
  <si>
    <t>PERFIL ACCÉS. GRAUS</t>
  </si>
  <si>
    <t xml:space="preserve">Taula 10. Estudiants matriculats per tipus de matrícula (Temps Complert / Temps Parcial) </t>
  </si>
  <si>
    <t>Taula 11. Percentatge d’estudiants segons comarca, província i Comunitat Autònoma de procedència</t>
  </si>
  <si>
    <t>Taula 12. Ubicació de la informació pública sobre el desenvolupament i indicadors de les titulacions de Grau</t>
  </si>
  <si>
    <t>Taula 13. Instruments per a la recollida de la satisfacció dels grups d’interès</t>
  </si>
  <si>
    <t>QUALIFICACIÓ, EXPERIÈNCIA I DEDICACIÓ</t>
  </si>
  <si>
    <t>Taula 14. Perfil general del professorat de la titulació</t>
  </si>
  <si>
    <t xml:space="preserve">Taula 15. Perfil del professorat per categoria </t>
  </si>
  <si>
    <t>Taula 16. Professorat per categoria i segons doctorat</t>
  </si>
  <si>
    <t>Taula 17. Hores de docència impartida per categoria i segons doctorat</t>
  </si>
  <si>
    <t>Taula 18. Assignatures del pla d'estudis</t>
  </si>
  <si>
    <t>Taula 19. Relació estudiants per PDI</t>
  </si>
  <si>
    <t>Taula 20.2. Satisfacció dels estudiants amb el professorat. Evolució</t>
  </si>
  <si>
    <r>
      <t>Taula 22. Projectes d’innovació docent del professorat del centre</t>
    </r>
    <r>
      <rPr>
        <sz val="8"/>
        <rFont val="Calibri"/>
        <family val="2"/>
        <scheme val="minor"/>
      </rPr>
      <t> </t>
    </r>
  </si>
  <si>
    <t>Taula 23. Accions de mobilitat del PDI en el programa ERASMUS</t>
  </si>
  <si>
    <t xml:space="preserve">Taula 24.1. Nombre d’estudiants per tutor/a </t>
  </si>
  <si>
    <t xml:space="preserve">Taula 24.2. Participació dels estudiants a la tutoria de titulació </t>
  </si>
  <si>
    <t>Taula 24.3. Tutories realitzades i tipologia</t>
  </si>
  <si>
    <t>Taula 25. Nombre d’assistents als tallers d’orientació professional</t>
  </si>
  <si>
    <t>Taula 26. Número d’estudiants de mobilitat OUT</t>
  </si>
  <si>
    <t>Taula 27. Número d’estudiants de mobilitat IN</t>
  </si>
  <si>
    <t>Taula 28. Dades ús de Moodle</t>
  </si>
  <si>
    <t>Taula 30.2. Resultats enquesta satisfacció alumnes durant (2n i 3r curs).</t>
  </si>
  <si>
    <t>Taula 30.3. Resultats enquesta satisfacció alumnes que acaben (4t curs).</t>
  </si>
  <si>
    <t>Taula 31. Relació d’alumnes de Pràctiques Externes</t>
  </si>
  <si>
    <t>Taula 32. Resultats enquesta PE_assignatura grau</t>
  </si>
  <si>
    <t>Taula 33. Resultats enquesta TFG_assignatura grau</t>
  </si>
  <si>
    <t>Taula 37. Satisfacció del professorat de la titulació</t>
  </si>
  <si>
    <t>Taula 38. Rendiment acadèmic per assignatura</t>
  </si>
  <si>
    <t>Taula 39. Taxa d’èxit (crèdits superats/crèdits presentats) i Taxa de rendiment (crèdits superats/crèdits matriculats).</t>
  </si>
  <si>
    <t xml:space="preserve">Taula 40. Indicadors de resultats acadèmics </t>
  </si>
  <si>
    <t>Taula 41. Inserció laboral</t>
  </si>
  <si>
    <t>Promoció</t>
  </si>
  <si>
    <t>Estudiants matriculats Doble Titulació</t>
  </si>
  <si>
    <t>Estudiants titulats</t>
  </si>
  <si>
    <t>Dona</t>
  </si>
  <si>
    <t>Home</t>
  </si>
  <si>
    <t>Fisioteràpia</t>
  </si>
  <si>
    <t>60/23=2,61</t>
  </si>
  <si>
    <t>60/50=1,2</t>
  </si>
  <si>
    <t>60/51=1,18</t>
  </si>
  <si>
    <t>Taula 21. Formació realitzada pel professorat del centre </t>
  </si>
  <si>
    <t>Accés al grau</t>
  </si>
  <si>
    <t>Nombre de places ofertes</t>
  </si>
  <si>
    <t xml:space="preserve">Notes de tall </t>
  </si>
  <si>
    <t xml:space="preserve">Correspondències entre cicles formatius de grau superior i estudis universitaris de grau a la URV </t>
  </si>
  <si>
    <t xml:space="preserve">Sortides professionals </t>
  </si>
  <si>
    <t>Sessions d’acollida</t>
  </si>
  <si>
    <t>PLA D’ESTUDIS</t>
  </si>
  <si>
    <t xml:space="preserve">Descripció del títol </t>
  </si>
  <si>
    <t>Pla d’estudis</t>
  </si>
  <si>
    <t>Mencions</t>
  </si>
  <si>
    <t xml:space="preserve">  Competències de l’assignatura</t>
  </si>
  <si>
    <t xml:space="preserve">  Planificació</t>
  </si>
  <si>
    <t xml:space="preserve">  Avaluació</t>
  </si>
  <si>
    <t xml:space="preserve">  Resultats d'aprenentatge</t>
  </si>
  <si>
    <t xml:space="preserve">  Metodologies</t>
  </si>
  <si>
    <t xml:space="preserve">  Fonts d'Informació</t>
  </si>
  <si>
    <t xml:space="preserve">  Continguts</t>
  </si>
  <si>
    <t xml:space="preserve">  Atenció personalitzada</t>
  </si>
  <si>
    <t xml:space="preserve">  Recomanacions</t>
  </si>
  <si>
    <t>Professorat de la titulació</t>
  </si>
  <si>
    <t>Informació de contacte</t>
  </si>
  <si>
    <t>Currículum del professorat</t>
  </si>
  <si>
    <t>Normativa Pràctiques Externes</t>
  </si>
  <si>
    <t>Pràctiques Obligatòries/Optatives</t>
  </si>
  <si>
    <t>Assignatures lligades a les Pràctiques</t>
  </si>
  <si>
    <t>Institucions on es poden realitzar les Pràctiques</t>
  </si>
  <si>
    <t>Programes de mobilitat</t>
  </si>
  <si>
    <t>Altres opcions per fer estades a l'estranger</t>
  </si>
  <si>
    <t>Beques</t>
  </si>
  <si>
    <t>Normativa mobilitat</t>
  </si>
  <si>
    <t>Institucions amb convenis signats</t>
  </si>
  <si>
    <t>Marc General</t>
  </si>
  <si>
    <t>Normativa</t>
  </si>
  <si>
    <t>Política de Qualitat de la Facultat/Escola</t>
  </si>
  <si>
    <t>Manual de Qualitat de la Facultat/Escola</t>
  </si>
  <si>
    <t>Autoinforme d’acreditació</t>
  </si>
  <si>
    <t xml:space="preserve">Informació general d’accés </t>
  </si>
  <si>
    <t>Enllaç a EUC Informes </t>
  </si>
  <si>
    <t>https://tarragona.euses.cat/professors-euses-tarragona/</t>
  </si>
  <si>
    <t>ENQUESTA URV DE SATISFACCIÓ DEL PROFESSORAT</t>
  </si>
  <si>
    <t>ENQUESTA DE SATISFACCIÓ DEL PROFESSORAT PRÒPIA D'EUSES TE</t>
  </si>
  <si>
    <t>ENQUESTA DE SATISFACCIÓ DELS TUTORS DEL PAT</t>
  </si>
  <si>
    <t>ENQUESTA DE SATISFACCIÓ DELS TITULATS RECENTS DE GRAU (AQU Catalunya)</t>
  </si>
  <si>
    <t>ENQUESTA D'INSERCIÓ LABORAL ALS GRADUATS I GRADUADES (AQU Catalunya)</t>
  </si>
  <si>
    <t>ENQUESTA DE TITULATS PRÒPIA D'EUSES TE</t>
  </si>
  <si>
    <t>SERVEIS, ACTIVITATS I INSTAL·LACIONS D'EUSES TE</t>
  </si>
  <si>
    <t>ENQUESTA DE SATISFACCIÓ DELS ESTUDIANTS AMB EL PAT</t>
  </si>
  <si>
    <t xml:space="preserve">Font: URV en xifres. ACRG18: Assignatures dels plans d’estudis de grau. </t>
  </si>
  <si>
    <t>Nre. PDI assistent</t>
  </si>
  <si>
    <t>Espais actius (%)</t>
  </si>
  <si>
    <t>Professors actius (%)</t>
  </si>
  <si>
    <t xml:space="preserve">Grau en CAFE </t>
  </si>
  <si>
    <t>Matriculats/des</t>
  </si>
  <si>
    <t>https://tarragona.euses.cat/estudis/grau-en-fisioterapia-tarragona/
https://tarragona.euses.cat/estudis/grau-ciencies-activitat-fisica-i-esport-cafe-tarragona/
https://tarragona.euses.cat/estudis/doble-titulacio-cafe-fisioterapia/</t>
  </si>
  <si>
    <t>Taula 30.1. Resultats enquesta satisfacció alumnes de nou accés (primer curs)</t>
  </si>
  <si>
    <t>2020-21</t>
  </si>
  <si>
    <t>Taula 2.2 Evolució del nombre de professorat amb docència segons gènere</t>
  </si>
  <si>
    <t>2019-10</t>
  </si>
  <si>
    <t>20-21</t>
  </si>
  <si>
    <t>2020-2021</t>
  </si>
  <si>
    <t>Histologia</t>
  </si>
  <si>
    <t>Sistema musculoesquelètic</t>
  </si>
  <si>
    <t>Fisioteràpia pelviperineològica</t>
  </si>
  <si>
    <t>HISTOLOGIA</t>
  </si>
  <si>
    <t>SISTEMA MUSCULOESQUELÈTIC</t>
  </si>
  <si>
    <t>SOL PÈLVIC I FISIOTERÀPIA</t>
  </si>
  <si>
    <t>FISIOTERÀPIA PELVIPERINEOLÒGICA</t>
  </si>
  <si>
    <t>PRIMERS AUXILIS</t>
  </si>
  <si>
    <t>FISIOTERÀPIA I SÒL PELVIA</t>
  </si>
  <si>
    <t>Any</t>
  </si>
  <si>
    <t xml:space="preserve"> </t>
  </si>
  <si>
    <t>Doble Grau en CAFE i Fisioteràpia</t>
  </si>
  <si>
    <t>Matèria</t>
  </si>
  <si>
    <t>Sense professor</t>
  </si>
  <si>
    <t>1.1</t>
  </si>
  <si>
    <t>1.6</t>
  </si>
  <si>
    <t>1.3</t>
  </si>
  <si>
    <t>1.2</t>
  </si>
  <si>
    <t>2.1</t>
  </si>
  <si>
    <t>1.7</t>
  </si>
  <si>
    <t>2.2</t>
  </si>
  <si>
    <t>2.5</t>
  </si>
  <si>
    <t>1.4</t>
  </si>
  <si>
    <t>2.3</t>
  </si>
  <si>
    <t>2.7</t>
  </si>
  <si>
    <t>2.4</t>
  </si>
  <si>
    <t>3.1</t>
  </si>
  <si>
    <t>1.5</t>
  </si>
  <si>
    <t>4.1</t>
  </si>
  <si>
    <t>FISIOTERÀPIA I SÒL PELVIÀ</t>
  </si>
  <si>
    <t>FISIOTERÀPIA DE L'ESPORT I. TEORIA DE L'ENTRENAMENT</t>
  </si>
  <si>
    <t>4.3</t>
  </si>
  <si>
    <t>2.8</t>
  </si>
  <si>
    <t>4.2</t>
  </si>
  <si>
    <t>FISIOTERÀPIA DE L'ESPORT II</t>
  </si>
  <si>
    <t>2.6</t>
  </si>
  <si>
    <t>PRÀCTIQUES TUTELADES OPCIONAL</t>
  </si>
  <si>
    <t>TÈCNIQUES ESPECÍFIQUES DE FISIOTERÀPIA</t>
  </si>
  <si>
    <t>Taula 42.1  Ús de les metodologies i sistema d’avaluació (*) per a cada assignatura, amb la mida del grup, distribució dels temps de treball de l’estudiant, amb presència del professor i treball autònom. Marcat amb blau aquelles que s’utilitzen per l’avaluació de l’assignatura</t>
  </si>
  <si>
    <t>Promoció 2020 - 2024</t>
  </si>
  <si>
    <t>50/36=1,39</t>
  </si>
  <si>
    <t>60/38=1,58</t>
  </si>
  <si>
    <t>10/6=1,66</t>
  </si>
  <si>
    <t>Amposta</t>
  </si>
  <si>
    <t>Reus</t>
  </si>
  <si>
    <t>Roquetes</t>
  </si>
  <si>
    <t>Tortosa</t>
  </si>
  <si>
    <t>Més grans de 40 anys</t>
  </si>
  <si>
    <t>Urgell</t>
  </si>
  <si>
    <t>Plana Baixa</t>
  </si>
  <si>
    <t>Alt Maestrat</t>
  </si>
  <si>
    <t>País Basc</t>
  </si>
  <si>
    <t>Teruel</t>
  </si>
  <si>
    <t>Baix Aragó</t>
  </si>
  <si>
    <t>Noves tendències en la gestió i recreació esportiva III</t>
  </si>
  <si>
    <t>Esgrima</t>
  </si>
  <si>
    <t>4,78 anys</t>
  </si>
  <si>
    <t>Dr. Abraham Batalla</t>
  </si>
  <si>
    <t>Dra. Anna Gils</t>
  </si>
  <si>
    <t>Sr. Josep Carles</t>
  </si>
  <si>
    <t>2021-22</t>
  </si>
  <si>
    <t>Promoció 2021 - 2025</t>
  </si>
  <si>
    <t>2021-2022</t>
  </si>
  <si>
    <t>Sol pelvià i Fisioteràpia</t>
  </si>
  <si>
    <t>Sr. Ivan Zaera</t>
  </si>
  <si>
    <t>Sr. Josep Rebull</t>
  </si>
  <si>
    <t>21-22</t>
  </si>
  <si>
    <t>Deltebre</t>
  </si>
  <si>
    <t>Marseille</t>
  </si>
  <si>
    <t>Montpellier</t>
  </si>
  <si>
    <t>Informes i estadístiques de la preinscripció universitària. Canal Universitats (gencat.cat)</t>
  </si>
  <si>
    <t>Sra. Carla Curto</t>
  </si>
  <si>
    <t>La Selva</t>
  </si>
  <si>
    <t>Osca</t>
  </si>
  <si>
    <t>Baix Cinca</t>
  </si>
  <si>
    <t>Les Garrigues</t>
  </si>
  <si>
    <t xml:space="preserve">Taula 37.1 Satisfacció del professorat Grau en CAFE </t>
  </si>
  <si>
    <t>No binari</t>
  </si>
  <si>
    <t>Pregunta  (Poc satisfet 1…10 Molt satisfet)</t>
  </si>
  <si>
    <t xml:space="preserve">Taula 37.1 Satisfacció del professorat Grau en Fisioteràpia </t>
  </si>
  <si>
    <t>10/10= 1</t>
  </si>
  <si>
    <t>Taula 8. Alumnes de nou accés segons edat i sexe</t>
  </si>
  <si>
    <t>Saps qui és el teu tutor/a?</t>
  </si>
  <si>
    <t>Quan has anat a una tutoria, ho has fet majoritàriament:</t>
  </si>
  <si>
    <t>La difusió sobre la tutoria ha estat correcta</t>
  </si>
  <si>
    <t>El tutor/a ha propiciat un bon clima de relació personal i de comunicació</t>
  </si>
  <si>
    <t>Estàs satisfet/a amb la informació rebuda a la tutoria</t>
  </si>
  <si>
    <t>Estàs satisfet/a amb la forma de resoldre les qüestions per part del teu tutor/a</t>
  </si>
  <si>
    <t>La tutoria t'ha estat útil</t>
  </si>
  <si>
    <t>Recomanaires a un/a company/a parlar amb el seu tutor/a</t>
  </si>
  <si>
    <t>L'espai de tutoria acadèmica t'ha estat útil</t>
  </si>
  <si>
    <t>Sí (88,89%)</t>
  </si>
  <si>
    <t>Global</t>
  </si>
  <si>
    <t>No (100%)</t>
  </si>
  <si>
    <t>No (50%)</t>
  </si>
  <si>
    <t>Graduats 
Promoció 2017-18</t>
  </si>
  <si>
    <t>Mitjana</t>
  </si>
  <si>
    <t>Pregunta 
(Molt en desacord 1…10 Molt en acord)</t>
  </si>
  <si>
    <t>He seguit regularment les activitats de l'assignatura?</t>
  </si>
  <si>
    <t>Considero que globalment és un/a bon/a professor/a</t>
  </si>
  <si>
    <t>Doble Titulació CAFE i Fisioteràpia</t>
  </si>
  <si>
    <t>(escala 1…10)</t>
  </si>
  <si>
    <t xml:space="preserve">Doble titulació </t>
  </si>
  <si>
    <t>Pregunta
(Molt en desacord 1…10 Molt en acord)</t>
  </si>
  <si>
    <t>Doble titulació CAFE+Fisioteràpia</t>
  </si>
  <si>
    <t xml:space="preserve">1. Què t'ha motivat a escollir aquests estudis? </t>
  </si>
  <si>
    <t xml:space="preserve">2. T'has matriculat en aquesta titulació amb l'objectiu de canviar-te després a una altra? </t>
  </si>
  <si>
    <t>3. Consideres que la teva formació prèvia és adequada per seguir els teus estudis?</t>
  </si>
  <si>
    <t>4. Consideres que el teu nivell TIC et permet desenvolupar els teus estudis?</t>
  </si>
  <si>
    <t>5. Consideres que la URV té un prestigi científic reconegut en l'àmbit dels estudis que has escollit?</t>
  </si>
  <si>
    <t>6. Sense tenir en compte els períodes de vacances, durant aquest curs compagines feina i estudis?</t>
  </si>
  <si>
    <t>6.1. Hores de jornada laboral a la setmana?</t>
  </si>
  <si>
    <t>6.2. La feina que fas està relacionada amb els teus estudis?</t>
  </si>
  <si>
    <t>7. Indica el teu nivell de coneixement dels idiomes que s'indiquen a continuació és (d'acord amb l'escala següent): [Anglès]</t>
  </si>
  <si>
    <t>M'agrada la professió que se'n deriva (100%)</t>
  </si>
  <si>
    <t>Sí (50%)</t>
  </si>
  <si>
    <t>Entre 1-20 (100%)</t>
  </si>
  <si>
    <t>Sí (57,14%)</t>
  </si>
  <si>
    <t>Sí (75%)</t>
  </si>
  <si>
    <t>1. Quines activitats fas a la Universitat?</t>
  </si>
  <si>
    <t>4. Sense tenir en compte els períodes de vacances, durant aquest curs compagines feina i estudis?</t>
  </si>
  <si>
    <t>4.1. Hores de jornada laboral a la setmana?</t>
  </si>
  <si>
    <t>4.2. La feina que fas està relacionada amb els teus estudis?</t>
  </si>
  <si>
    <t>5. Indica el teu nivell de coneixement dels idiomes que s'indiquen a continuació és (d'acord amb l'escala següent): [Anglès]</t>
  </si>
  <si>
    <t>Sí (60%)</t>
  </si>
  <si>
    <t>No (60%)</t>
  </si>
  <si>
    <t>Sí (90%)</t>
  </si>
  <si>
    <t>5. El meu nivell de coneixement dels idiomes que s'indiquen a continuació és (d'acord amb l'escala següent): [Anglès]</t>
  </si>
  <si>
    <t>Taula 29. Satisfacció amb els sistemes de suport a l’aprenentatge</t>
  </si>
  <si>
    <t>Estudiar un màster (100%)</t>
  </si>
  <si>
    <t>6.Valora del 0 al 10 la teva estada al lloc on has fet les pràctiques.</t>
  </si>
  <si>
    <t>8. El que es fa a l'assignatura m'ajuda a aprendre</t>
  </si>
  <si>
    <t>9. La manera com m'avaluen les Pràctiques Externes és adequada.</t>
  </si>
  <si>
    <t>10. Les Pràctiques Externes  m'han ofert l'oportunitat de tenir un contacte amb el món laboral.</t>
  </si>
  <si>
    <t>11. Les Pràctiques Externes m'han permès aplicar els coneixements i habilitats adquirits durant la titulació.</t>
  </si>
  <si>
    <t>12. Les Pràctiques Externes faciliten la inserció laboral.</t>
  </si>
  <si>
    <t>13. Valora del 0 al 10 la satisfacció amb el desenvolupament de l'assignatura.</t>
  </si>
  <si>
    <t>Taula 30.4. Resultats enquesta satisfacció als estudiants sobre serveis, activitats i instal·lacions EUSES TE.</t>
  </si>
  <si>
    <t>Ubicació</t>
  </si>
  <si>
    <t>Haguéssiu preferit cursar els estudis en una altra universitat catalana?</t>
  </si>
  <si>
    <t>Heu participat en les activitats organitzades per la EUSES TE-URV adreçades a futurs estudiants?</t>
  </si>
  <si>
    <t>Coneixeu el servei de suport en temes de pràctiques i borsa de treball (Alumni)?</t>
  </si>
  <si>
    <t>Coneixeu els programes de suport als alumnes amb discapacitat (URV)?</t>
  </si>
  <si>
    <t>Coneixeu el Servei de Beques i Ajuts a l'Estudiant (URV)?</t>
  </si>
  <si>
    <t>Coneixeu l'Oficina de Mobilitat i Programes Internacionals del vostre centre (URV)?</t>
  </si>
  <si>
    <t>Coneixeu el circuit de queixes, suggeriments i dubtes del vostre centre?</t>
  </si>
  <si>
    <t>Sou usuari/usuària del Servei de llengües (URV)?</t>
  </si>
  <si>
    <t xml:space="preserve"> Sou usuari/usuària d'Esports (URV)?</t>
  </si>
  <si>
    <t>Coneixeu l'existència d'alguna associació d'estudiants (URV)?</t>
  </si>
  <si>
    <t>Per què estudieu a EUSES TE  - URV?</t>
  </si>
  <si>
    <t>PAT</t>
  </si>
  <si>
    <t>Secretaria</t>
  </si>
  <si>
    <t>Aules</t>
  </si>
  <si>
    <t>Sales d'estudis</t>
  </si>
  <si>
    <t>Espai de consum d'aliments</t>
  </si>
  <si>
    <t>Accés al centre</t>
  </si>
  <si>
    <t>Dependències</t>
  </si>
  <si>
    <t>Vigilància</t>
  </si>
  <si>
    <t>Campus virtual</t>
  </si>
  <si>
    <t>Web</t>
  </si>
  <si>
    <t>Serveis URV</t>
  </si>
  <si>
    <t>Agilitat en els tràmits</t>
  </si>
  <si>
    <t>Tracte personal</t>
  </si>
  <si>
    <t>Horari d'atenció</t>
  </si>
  <si>
    <t>Procés d'automatrícula</t>
  </si>
  <si>
    <t>Atenció telefònica</t>
  </si>
  <si>
    <t>Valoració global</t>
  </si>
  <si>
    <t>Espai disponible</t>
  </si>
  <si>
    <t>Qualitat i adequació del mobiliari</t>
  </si>
  <si>
    <t>Qualitat de les instal·lacions</t>
  </si>
  <si>
    <t>Recursos docents</t>
  </si>
  <si>
    <t>Horari</t>
  </si>
  <si>
    <t>Disponibilitat de llocs per a l'estudi</t>
  </si>
  <si>
    <t>Disponibilitat de microones i espais per consumir menjar propi</t>
  </si>
  <si>
    <t>Oferta de productes a les màquines expenedores</t>
  </si>
  <si>
    <t>Transport públic</t>
  </si>
  <si>
    <t>Transport privat</t>
  </si>
  <si>
    <t>Claredat en la senyalització</t>
  </si>
  <si>
    <t>Grau de vigilància i seguretat</t>
  </si>
  <si>
    <t>Utilitat per als estudis</t>
  </si>
  <si>
    <t>Disponibilitat de material</t>
  </si>
  <si>
    <t>Adequació del material dipositat</t>
  </si>
  <si>
    <t>Valoració global del web URV</t>
  </si>
  <si>
    <t>Valoració de la web del vostre centre</t>
  </si>
  <si>
    <t>Sou usuari/usuària del CRAI-Biblioteques (URV)?</t>
  </si>
  <si>
    <t>És una tria determinada per la nota d'accés (100%)</t>
  </si>
  <si>
    <t>Regular (100%)</t>
  </si>
  <si>
    <t>Deficient (100%)</t>
  </si>
  <si>
    <t>5. El que es fa a l’assignatura m’ajuda a aprendre.</t>
  </si>
  <si>
    <t>1. El procés d’assignació del TFG és adequat</t>
  </si>
  <si>
    <t>2. La informació sobre l’assignatura és clara i entenedora (objectius, planificació i criteris d’avaluació).</t>
  </si>
  <si>
    <t>3. El volum de treball d’aquesta assignatura és l’adequat.</t>
  </si>
  <si>
    <t xml:space="preserve">4. El seguiment per part del tutor ha estat útil per fer el TFG. </t>
  </si>
  <si>
    <t>6. La manera com m'avaluen el TFG es adequada.</t>
  </si>
  <si>
    <t>7. El TFG m'ofereix oportunitats de participar en activitats de recerca i/o professionals.</t>
  </si>
  <si>
    <t>8. El TFG m’ha permès valorar el meu grau d'assoliment de les competències de la titulació.</t>
  </si>
  <si>
    <t>9. El TFG m'ha estat útil per consolidar competències de la titulació.</t>
  </si>
  <si>
    <t>10. Valora del 0 al 10 la satisfacció amb el desenvolupament de l'assignatura.</t>
  </si>
  <si>
    <t>Valora del 0 al 10 la satisfacció amb el desenvolupament de l’assignatura</t>
  </si>
  <si>
    <t>La metodologia docent utilitzada pel professorat m’ha afavorit l’aprenentatge</t>
  </si>
  <si>
    <t>L’avaluació ha estat coherent amb la metodologia docent utilitzada</t>
  </si>
  <si>
    <t>Fisiologia de l'exercici II</t>
  </si>
  <si>
    <t>Esports d’adversari: Tennis</t>
  </si>
  <si>
    <t>Esports d’adversari: Esgrima</t>
  </si>
  <si>
    <t>Ampliació dels esports: Futbol II</t>
  </si>
  <si>
    <t>Ampliació dels esports: Noves tendències en l'entrenament esportiu</t>
  </si>
  <si>
    <t>Metodologia docent</t>
  </si>
  <si>
    <t>Sistema neuromusculoesquelètic</t>
  </si>
  <si>
    <t>Sól pelvià i fisioteràpia</t>
  </si>
  <si>
    <t>Fisioteràpia de l'esport I</t>
  </si>
  <si>
    <t>Fisioteràpia de l’esport II</t>
  </si>
  <si>
    <t>Aprenentatge motor</t>
  </si>
  <si>
    <t>Esports d'adversari: Esgrima</t>
  </si>
  <si>
    <t>Esports d'adversari: Tennis</t>
  </si>
  <si>
    <t>Història i fonaments socioculturals de l'activitat física i l'esport</t>
  </si>
  <si>
    <t>Procediments generals en Fisioteràpia I</t>
  </si>
  <si>
    <t>Psicologia aplicada a l'activitat física i a l'esport</t>
  </si>
  <si>
    <t>Programació dels ensenyaments en el sistema educatiu</t>
  </si>
  <si>
    <t>Bases econòmico-financeres i de contractació</t>
  </si>
  <si>
    <t>Prescripció d'exercici físic per a la salut</t>
  </si>
  <si>
    <t xml:space="preserve">Tècniques específiques d'intervenció en fisioteràpia </t>
  </si>
  <si>
    <t>Atenció personalitzada</t>
  </si>
  <si>
    <t>Resol satisfactòriament els dubtes o preguntes que se li plantegen</t>
  </si>
  <si>
    <t>Noves tendències en la gestió i recreació esportiva I: Professió i reptes de futur</t>
  </si>
  <si>
    <t>ANATOMIA I (Pla vell)</t>
  </si>
  <si>
    <t>ANATOMIA II (Pla vell)</t>
  </si>
  <si>
    <t>4,94 anys</t>
  </si>
  <si>
    <t>Taxa d'eficiència</t>
  </si>
  <si>
    <t>4,41 anys</t>
  </si>
  <si>
    <t>4,63 anys</t>
  </si>
  <si>
    <t>Data informe: 15/01/2023</t>
  </si>
  <si>
    <t>Font: Enquesta d'inserció laboral (AQU Catalunya)</t>
  </si>
  <si>
    <t>2022-23</t>
  </si>
  <si>
    <t>Promoció 2022 - 2026</t>
  </si>
  <si>
    <t>2022-2023</t>
  </si>
  <si>
    <t>22-23</t>
  </si>
  <si>
    <t>(escala 1_7)</t>
  </si>
  <si>
    <t>Alcanar</t>
  </si>
  <si>
    <t>Gandesa</t>
  </si>
  <si>
    <t>Narbonne</t>
  </si>
  <si>
    <t>50/50= 1</t>
  </si>
  <si>
    <t>60/35=1,71</t>
  </si>
  <si>
    <t>10/11= 0,91</t>
  </si>
  <si>
    <t xml:space="preserve">ACTIVITAT FÍSICA I EXERCICI TERAPÈUTIC </t>
  </si>
  <si>
    <t>Camp d'Alicant</t>
  </si>
  <si>
    <t>Sr. Santiago Vicente</t>
  </si>
  <si>
    <t>Dra. Mireia Salvador</t>
  </si>
  <si>
    <t>Activitat Física i exercici terapèutic</t>
  </si>
  <si>
    <t>Informació pública</t>
  </si>
  <si>
    <t>Sí (78,57%)</t>
  </si>
  <si>
    <t xml:space="preserve">He rebut resposta de les queixes i suggeriments (en cas d'haver-ne fet). </t>
  </si>
  <si>
    <t>No (80%)</t>
  </si>
  <si>
    <t>Sí (25%)</t>
  </si>
  <si>
    <t xml:space="preserve">15. Has assistit a les jornades d'acollida de principi de curs? </t>
  </si>
  <si>
    <t>15.1. Fins a quin punt t'han resultat útils per incorporar-te satisfactòriament a la Universitat?</t>
  </si>
  <si>
    <t>17. Els horaris de classe són adequats per a la teva formació?</t>
  </si>
  <si>
    <t>18. M’he integrat a l’entorn universitari.</t>
  </si>
  <si>
    <t>19. Estic satisfet amb la relació amb els companys a la titulació.</t>
  </si>
  <si>
    <t>Assisteixo a classe, estudio i faig activitats amb freqüència (75%)</t>
  </si>
  <si>
    <t>Assisteixo a classe, estudio i faig activitats amb freqüència (50%)</t>
  </si>
  <si>
    <t>2. Fas activitats del sector social o ambiental?</t>
  </si>
  <si>
    <t>No (85,71%)</t>
  </si>
  <si>
    <t>3. Fas activitats de l'àmbit cultural i/o esportiu?</t>
  </si>
  <si>
    <t>Entre 1-20 (50%)</t>
  </si>
  <si>
    <t>14. Els horaris de classe són adequats per a la teva formació?</t>
  </si>
  <si>
    <t>15. M'he integrat a l'entorn universitari.</t>
  </si>
  <si>
    <t>16. Estic satisfet amb la relació amb els companys a la titulació.</t>
  </si>
  <si>
    <t>17. L'ambient d'aprenentatge és de col·laboració</t>
  </si>
  <si>
    <t>18. L'ambient d'aprenentatge és de competitivitat</t>
  </si>
  <si>
    <t>19. Coneixes l'ICenter i els serveis que ofereix?</t>
  </si>
  <si>
    <t>20. Coneixes els diferents programes de mobilitat als què pots optar?</t>
  </si>
  <si>
    <t>21. Saps que pots fer una mobilitat sota el Programa "Erasmus+"?</t>
  </si>
  <si>
    <t>22. Saps que pots anar a fer estada de mobilitat de pràctiques?</t>
  </si>
  <si>
    <t>23. Creus que pots finalitzar aquesta titulació en el temps previst? (habitualment, quatre anys per un grau i cinc anys per una doble titulació)</t>
  </si>
  <si>
    <t>24. Estàs satisfet amb la carrera que estudies?</t>
  </si>
  <si>
    <t>25. La teva percepció sobre la carrera ha millorat respecte a la que tenies quan vas iniciar els estudis?</t>
  </si>
  <si>
    <t>19. El Pla d'Estudis de la titulació ha permès una progressió adequada del meu aprenentatge</t>
  </si>
  <si>
    <t>20. Hi ha hagut una bona coordinació en el contingut de les assignatures de la Titulació per evitar solapaments</t>
  </si>
  <si>
    <t>21. La formació m'ha ajudat a millorar les meves capacitat de comunicació en públic.</t>
  </si>
  <si>
    <t>22. La formació m'ha ajudat a millorar la capacitat de comunicació escrita.</t>
  </si>
  <si>
    <t>23. La formació m'ha ajudat a millorar la meva capacitat de treballar de forma autònoma.</t>
  </si>
  <si>
    <t>24. La formació m'ha ajudat a desenvolupar la meva capacitat de prendre decisions.</t>
  </si>
  <si>
    <t>25. La formació m'ha ajudat a desenvolupar la meva capacitat de resoldre  problemes.</t>
  </si>
  <si>
    <t>26. La formació m'ha ajudat a desenvolupar la meva capacitat de treball en equip.</t>
  </si>
  <si>
    <t>27. La formació m'ha ajudat a millorar les meves competències per a la gestió de la informació.</t>
  </si>
  <si>
    <t>28. La formació m'ha ajudat a millorar la meva capacitat de treballar en llengües estrangeres.</t>
  </si>
  <si>
    <t>29. La formació m'ha ajudat a millorar les meves competències per l'ús de les Tecnologies de la Informació i Comunicació.</t>
  </si>
  <si>
    <t>30. La formació m'ha ajudat a reflexionar vers aspectes rellevants de responsabilitat social i ètic.</t>
  </si>
  <si>
    <t>31. La formació m'ha ajudat a millorar l'habilitat per definir el perfil acadèmic i professional futur.</t>
  </si>
  <si>
    <t>32. La formació m'ha ajudat a millorar les capacitats per a l'activitat professional.</t>
  </si>
  <si>
    <t xml:space="preserve">33. Puc anomenar com a mínim una dona que ha contribuït a desenvolupar el meu camp d’estudi. </t>
  </si>
  <si>
    <t>34. Puc anomenar com a mínim un home que ha contribuït a desenvolupar el meu camp d’estudi.</t>
  </si>
  <si>
    <t>35. Estic satisfet/a amb el grau d'introducció de la perspectiva de gènere en la titulació.</t>
  </si>
  <si>
    <t>36. Les accions de mobilitat han estat rellevants per al meu aprenentatge.</t>
  </si>
  <si>
    <t>37. Estàs satisfet amb la titulació que has estudiat?</t>
  </si>
  <si>
    <t>38. Si tornessis a començar triaries la mateixa titulació?</t>
  </si>
  <si>
    <t>39. Si tornessis a començar els estudis universitaris, triaries la URV?</t>
  </si>
  <si>
    <t>40. Recomanaries la URV a qui volgués iniciar estudis?</t>
  </si>
  <si>
    <t>41. Quines perspectives de futur tens?</t>
  </si>
  <si>
    <t>Treballar (100%)</t>
  </si>
  <si>
    <t>Sí (70%)</t>
  </si>
  <si>
    <t>No (78,57%)</t>
  </si>
  <si>
    <t>No (90%)</t>
  </si>
  <si>
    <t>Bé (100%)</t>
  </si>
  <si>
    <t>Bé (50%)</t>
  </si>
  <si>
    <t>Excel·lent (50%)</t>
  </si>
  <si>
    <t>Bé (33,33%)</t>
  </si>
  <si>
    <t>Noves tendències en l'entrenament esportiu (readaptació)</t>
  </si>
  <si>
    <t>Noves tendències en la gestió i recreació esportiva III: BTT</t>
  </si>
  <si>
    <t>Noves tendències en l'activitat física i la qualitat de vida: Entrenament personal</t>
  </si>
  <si>
    <t>El volum de treball és coherent i proporcionat als crèdits de l’assignatura.</t>
  </si>
  <si>
    <t>Resultats</t>
  </si>
  <si>
    <t>Suport a l'estudiant</t>
  </si>
  <si>
    <t>Activitat física i exercici terapèutic</t>
  </si>
  <si>
    <t>Mètodes específics d’intervenció en Fisioteràpia III</t>
  </si>
  <si>
    <t>El volum de treball és coherent i proporcionat als crèdits de l’assignatura</t>
  </si>
  <si>
    <t>Procediments generals en Fisioteràpia II</t>
  </si>
  <si>
    <t>Esports col·lectius I : Futbol I</t>
  </si>
  <si>
    <t>Esports col·lectius I : Handbol I</t>
  </si>
  <si>
    <t>Principis didàctics de l'activitat física i l'esport</t>
  </si>
  <si>
    <t>Activitat física i esport per a persones amb alguna discapacitat</t>
  </si>
  <si>
    <r>
      <t xml:space="preserve">Les </t>
    </r>
    <r>
      <rPr>
        <b/>
        <sz val="8"/>
        <color rgb="FF000000"/>
        <rFont val="Verdana"/>
        <family val="2"/>
      </rPr>
      <t>pràctiques externes</t>
    </r>
    <r>
      <rPr>
        <sz val="8"/>
        <color rgb="FF000000"/>
        <rFont val="Verdana"/>
        <family val="2"/>
      </rPr>
      <t xml:space="preserve"> m'han permès aplicar els coneixements adquirits durant la titulació</t>
    </r>
  </si>
  <si>
    <r>
      <t xml:space="preserve">Les accions de </t>
    </r>
    <r>
      <rPr>
        <b/>
        <sz val="8"/>
        <color rgb="FF000000"/>
        <rFont val="Verdana"/>
        <family val="2"/>
      </rPr>
      <t>mobilitat</t>
    </r>
    <r>
      <rPr>
        <sz val="8"/>
        <color rgb="FF000000"/>
        <rFont val="Verdana"/>
        <family val="2"/>
      </rPr>
      <t xml:space="preserve"> que he realitzat han estat rellevants per al meu aprenentatge</t>
    </r>
  </si>
  <si>
    <r>
      <t>La formació rebuda m'ha permès millorar les meves</t>
    </r>
    <r>
      <rPr>
        <b/>
        <sz val="8"/>
        <color rgb="FF000000"/>
        <rFont val="Verdana"/>
        <family val="2"/>
      </rPr>
      <t xml:space="preserve"> habilitats comunicatives</t>
    </r>
  </si>
  <si>
    <r>
      <t xml:space="preserve">La formació rebuda m'ha permès millorar les </t>
    </r>
    <r>
      <rPr>
        <b/>
        <sz val="8"/>
        <color rgb="FF000000"/>
        <rFont val="Verdana"/>
        <family val="2"/>
      </rPr>
      <t xml:space="preserve">competències personals </t>
    </r>
    <r>
      <rPr>
        <sz val="8"/>
        <color rgb="FF000000"/>
        <rFont val="Verdana"/>
        <family val="2"/>
      </rPr>
      <t>(nivell de confiança, lideratge, aprenentatge autònom, presa de decisions, resolució de nous problemes, anàlisi crítica, treball en equip, etc.)</t>
    </r>
  </si>
  <si>
    <r>
      <t xml:space="preserve">La formació rebuda m'ha permès millorar les meves </t>
    </r>
    <r>
      <rPr>
        <b/>
        <sz val="8"/>
        <color rgb="FF000000"/>
        <rFont val="Verdana"/>
        <family val="2"/>
      </rPr>
      <t>capacitats</t>
    </r>
    <r>
      <rPr>
        <sz val="8"/>
        <color rgb="FF000000"/>
        <rFont val="Verdana"/>
        <family val="2"/>
      </rPr>
      <t xml:space="preserve"> per l’activitat </t>
    </r>
    <r>
      <rPr>
        <b/>
        <sz val="8"/>
        <color rgb="FF000000"/>
        <rFont val="Verdana"/>
        <family val="2"/>
      </rPr>
      <t>professional</t>
    </r>
  </si>
  <si>
    <r>
      <t>El</t>
    </r>
    <r>
      <rPr>
        <b/>
        <sz val="8"/>
        <color rgb="FF000000"/>
        <rFont val="Verdana"/>
        <family val="2"/>
      </rPr>
      <t xml:space="preserve"> treball de fi de grau </t>
    </r>
    <r>
      <rPr>
        <sz val="8"/>
        <color rgb="FF000000"/>
        <rFont val="Verdana"/>
        <family val="2"/>
      </rPr>
      <t xml:space="preserve">m'ha estat útil per consolidar les competències de la titulació </t>
    </r>
  </si>
  <si>
    <t>https://www.urv.cat/ca/universitat/normatives/normativa-pract-externes/  
https://tarragona.euses.cat/wp-content/uploads/2020/04/6.-Reglament-intern-organitzador-de-les-Pr%C3%A0ctiques-Externes-web.pdf</t>
  </si>
  <si>
    <t>https://www.urv.cat/ca/vida-campus/serveis/mobilitat/mob-estudis/
https://tarragona.euses.cat/sicue-erasmus-cafe-fisioterapia/</t>
  </si>
  <si>
    <t>https://www.urv.cat/ca/vida-campus/serveis/crai/que-us-oferim/treballfigrau/    
https://urv.libguides.com/c.php?g=680890&amp;p=4855491   
https://tarragona.euses.cat/wp-content/uploads/2020/04/5.-Reglament-intern-organitzador-de-Treball-Final-de-Grau-2019-def.pdf</t>
  </si>
  <si>
    <t xml:space="preserve">https://www.urv.cat/ca/estudis/graus/admissio/matricula/    
https://www.urv.cat/ca/estudis/graus/admissio/matricula/doc-nou-acces-g/    
https://www.urv.cat/ca/estudis/graus/admissio/matricula/informacio-economica-nou-acces/    
https://urv.cat/ca/estudis/graus/tramits/    
https://www.urv.cat/ca/estudis/graus/admissio/orientacio/    
https://www.urv.cat/ca/estudis/graus/admissio/acollida/ 
</t>
  </si>
  <si>
    <t>4,28 anys</t>
  </si>
  <si>
    <t>4,66 anys</t>
  </si>
  <si>
    <t>5anys</t>
  </si>
  <si>
    <t>Taula 4. Percentatge d’estudiants matriculats de nou ingrés segons via d’accés</t>
  </si>
  <si>
    <t>Promoció 2023 - 2027</t>
  </si>
  <si>
    <t>2023-24</t>
  </si>
  <si>
    <t>Taula 2.1.  Evolució del nombre de professorat amb docència</t>
  </si>
  <si>
    <t>2023-2024</t>
  </si>
  <si>
    <t>23-24</t>
  </si>
  <si>
    <t xml:space="preserve">Introducció pràctica a la recerca (abans: Disseny i gestió d'un projecte de recerca) </t>
  </si>
  <si>
    <t>Em desperta molt d'interès (100%)</t>
  </si>
  <si>
    <t>M'agrada la professió que se'n deriva (85,71%)</t>
  </si>
  <si>
    <t>Entre 1-20 (60%)</t>
  </si>
  <si>
    <t>Entre 1-20 (57,14%)</t>
  </si>
  <si>
    <t>Entre 1-20 (40%)</t>
  </si>
  <si>
    <t>Sí (20%)</t>
  </si>
  <si>
    <t>M'agrada la professió que se'n deriva (66,67%)</t>
  </si>
  <si>
    <t>Sí (77,78%)</t>
  </si>
  <si>
    <t>Sí (86,67%)</t>
  </si>
  <si>
    <t>Sí (93,33%)</t>
  </si>
  <si>
    <t>No (77,78%)</t>
  </si>
  <si>
    <t>No (73,33%)</t>
  </si>
  <si>
    <t>Entre 1-20 (16,67%)</t>
  </si>
  <si>
    <t>Entre 1-20 (13,33%)</t>
  </si>
  <si>
    <t>Sí (16,67%)</t>
  </si>
  <si>
    <t>Sí (22,22%)</t>
  </si>
  <si>
    <t>Taula 34. Satisfacció dels estudiants amb les assignatures. Curs 2023-2024</t>
  </si>
  <si>
    <t>Sol pelvià i fisioteràpia</t>
  </si>
  <si>
    <t>Taula 20.1. Satisfacció dels estudiants amb el professorat. Curs 2023-24</t>
  </si>
  <si>
    <t>Sí (99,95%)</t>
  </si>
  <si>
    <t>Sí (99,51%)</t>
  </si>
  <si>
    <t>Sí (99,96%)</t>
  </si>
  <si>
    <t>Sí (99,97%)</t>
  </si>
  <si>
    <t>Sí (99,48%)</t>
  </si>
  <si>
    <t>.-</t>
  </si>
  <si>
    <t>Sí (99,98%)</t>
  </si>
  <si>
    <t>Sí (99,99%)</t>
  </si>
  <si>
    <t>Sí (85,7%)</t>
  </si>
  <si>
    <t>Sí (95,2%)</t>
  </si>
  <si>
    <t>No (66%)</t>
  </si>
  <si>
    <t>Sí (81,25%)</t>
  </si>
  <si>
    <t>Sí (93,75%)</t>
  </si>
  <si>
    <t>Sí (78,26%)</t>
  </si>
  <si>
    <t>No (73,91%)</t>
  </si>
  <si>
    <t>No (68,75%)</t>
  </si>
  <si>
    <t>Entre 1-20h (60%)</t>
  </si>
  <si>
    <t>Sí (40%)</t>
  </si>
  <si>
    <t>Només assisteixo a classe i estudio (66,6%)</t>
  </si>
  <si>
    <t>No (66,6%)</t>
  </si>
  <si>
    <t>Sí (66,6%)</t>
  </si>
  <si>
    <t>Entre 1-20h (66,6%)</t>
  </si>
  <si>
    <t>Sí (33,3%)</t>
  </si>
  <si>
    <t>Només assisteixo a classe i estudio (57,14%)</t>
  </si>
  <si>
    <t>Entre 1-20h (69,23%)</t>
  </si>
  <si>
    <t>Sí (91,66%)</t>
  </si>
  <si>
    <t>Sí (71,42%)</t>
  </si>
  <si>
    <t>Sí (64,28%)</t>
  </si>
  <si>
    <t>Sí (92,85%)</t>
  </si>
  <si>
    <t>No (71,42%)</t>
  </si>
  <si>
    <t>Entre 1-20h (100%)</t>
  </si>
  <si>
    <t>Només assisteixo a classe i estudio (70%)</t>
  </si>
  <si>
    <t>Entre 1-20h (62,5%)</t>
  </si>
  <si>
    <t>Assisteixo a classe, estudio i faig activitats amb  freqüència (100%)</t>
  </si>
  <si>
    <t>Entre 1 i 20h (100%)</t>
  </si>
  <si>
    <t>Treballar (66,6%)</t>
  </si>
  <si>
    <t>Bé (66,6%)</t>
  </si>
  <si>
    <t>Bé (33,3%)</t>
  </si>
  <si>
    <t>Deficient (66,6%)</t>
  </si>
  <si>
    <t>Regular (33,3%)</t>
  </si>
  <si>
    <t>És una tria determinada per la nota d'accés (61,53%)</t>
  </si>
  <si>
    <t>Sí (61,53%)</t>
  </si>
  <si>
    <t>No (92,30%)</t>
  </si>
  <si>
    <t>Sí (69,23%)</t>
  </si>
  <si>
    <t>No (53,84%)</t>
  </si>
  <si>
    <t>Bé (53,84%)</t>
  </si>
  <si>
    <t>Excel·lent (38,46%)</t>
  </si>
  <si>
    <t>Bé (61,53%)</t>
  </si>
  <si>
    <t>Bé (38,46%)</t>
  </si>
  <si>
    <t>Regular 76,92%)</t>
  </si>
  <si>
    <t>Regular (46,15%)</t>
  </si>
  <si>
    <t>Regular (38,46%)</t>
  </si>
  <si>
    <t>Deficient (76,92%)</t>
  </si>
  <si>
    <t>Deficient (84,61%)</t>
  </si>
  <si>
    <t>Deficient (69,23%)</t>
  </si>
  <si>
    <t>Regular (53,84%)</t>
  </si>
  <si>
    <t>Bé (76,92%)</t>
  </si>
  <si>
    <t>Bé (69,23%)</t>
  </si>
  <si>
    <t>Bé (84,61%)</t>
  </si>
  <si>
    <t>No (84,61%)</t>
  </si>
  <si>
    <t>És una tria determinada per la nota d'accés (68,75%)</t>
  </si>
  <si>
    <t>Sí (68,75%)</t>
  </si>
  <si>
    <t>No (93,75%)</t>
  </si>
  <si>
    <t>Sí (56,25%)</t>
  </si>
  <si>
    <t>Bé (62,5%)</t>
  </si>
  <si>
    <t>Bé (43,75%)</t>
  </si>
  <si>
    <t>Bé (68,75%)</t>
  </si>
  <si>
    <t>Bé (37,5%)</t>
  </si>
  <si>
    <t>Regular (62,5%)</t>
  </si>
  <si>
    <t>Regular (43,75%)</t>
  </si>
  <si>
    <t>Regular (50%)</t>
  </si>
  <si>
    <t>Regular (37,5%)</t>
  </si>
  <si>
    <t>Bé (56,25%)</t>
  </si>
  <si>
    <t>Deficient (81,25%)</t>
  </si>
  <si>
    <t>Deficient (75%)</t>
  </si>
  <si>
    <t>Excel·lent (37,5%)</t>
  </si>
  <si>
    <t>Bé (75%)</t>
  </si>
  <si>
    <t>Bé (81,25%)</t>
  </si>
  <si>
    <t>No (87,5%)</t>
  </si>
  <si>
    <t>Excel·lent (100%)</t>
  </si>
  <si>
    <t>És la universitat on volia cursar els estudis (50%)</t>
  </si>
  <si>
    <t>No (58,33%)</t>
  </si>
  <si>
    <t>No (83,33%)</t>
  </si>
  <si>
    <t>No (66,66%)</t>
  </si>
  <si>
    <t>Bé 50%)</t>
  </si>
  <si>
    <t>Excel·lent (41,66%)</t>
  </si>
  <si>
    <t>Excel·lent (33,33%)</t>
  </si>
  <si>
    <t>Regular (45,45%)</t>
  </si>
  <si>
    <t>Deficient (50%)</t>
  </si>
  <si>
    <t>Regular (33,33%)</t>
  </si>
  <si>
    <t>Deficent (41,66%)</t>
  </si>
  <si>
    <t>Bé (41,66%)</t>
  </si>
  <si>
    <t>Deficient (41,66%)</t>
  </si>
  <si>
    <t>Bé (58,33%)</t>
  </si>
  <si>
    <t>Bé (83,33%)</t>
  </si>
  <si>
    <t>Bé (66,66%)</t>
  </si>
  <si>
    <t>Sí (66,66%)</t>
  </si>
  <si>
    <t>És una tria determinada per la nota d'accés (72,72%)</t>
  </si>
  <si>
    <t>Sí (72,72%)</t>
  </si>
  <si>
    <t>No (90,90%)</t>
  </si>
  <si>
    <t>Sí (54,54%)</t>
  </si>
  <si>
    <t>No (63,63%)</t>
  </si>
  <si>
    <t>No (72,72%)</t>
  </si>
  <si>
    <t>Excel·lent (54,54%)</t>
  </si>
  <si>
    <t>Excel·lent (63,63%)</t>
  </si>
  <si>
    <t>Bé (45,45%)</t>
  </si>
  <si>
    <t>Bé (36,36%)</t>
  </si>
  <si>
    <t>Bé (63,63%)</t>
  </si>
  <si>
    <t>Excel·lent (36,36%)</t>
  </si>
  <si>
    <t>Deficient (36,36%)</t>
  </si>
  <si>
    <t>Bé (54,54%)</t>
  </si>
  <si>
    <t>Be (45,45%)</t>
  </si>
  <si>
    <t>Bé (72,72%)</t>
  </si>
  <si>
    <t>És una tria determinada per la nota d'accés (47,83%)</t>
  </si>
  <si>
    <t>Sí (56,52%)</t>
  </si>
  <si>
    <t>No (86,95%)</t>
  </si>
  <si>
    <t>Sí (52,17%)</t>
  </si>
  <si>
    <t>No (65,21%)</t>
  </si>
  <si>
    <t>No (69,56%)</t>
  </si>
  <si>
    <t>Excel·lent (47,82%)</t>
  </si>
  <si>
    <t>Excel·lent (56,52%)</t>
  </si>
  <si>
    <t>Excel·lent (52,17%)</t>
  </si>
  <si>
    <t>Regular (43,48%)</t>
  </si>
  <si>
    <t>Deficient (39,13%)</t>
  </si>
  <si>
    <t>Bé (43,48%)</t>
  </si>
  <si>
    <t>Bé (34,78%)</t>
  </si>
  <si>
    <t>Bé (47,82%)</t>
  </si>
  <si>
    <t>Regular (39,13%)</t>
  </si>
  <si>
    <t>Bé (39,13%)</t>
  </si>
  <si>
    <t>Bé (52,17%)</t>
  </si>
  <si>
    <t>Bé (43,47%)</t>
  </si>
  <si>
    <t>Bé (65,21%)</t>
  </si>
  <si>
    <t>Bé (56,52%)</t>
  </si>
  <si>
    <t>Bé (65,22%)</t>
  </si>
  <si>
    <t>Bé (60,86%)</t>
  </si>
  <si>
    <t>Bé (73,91%)</t>
  </si>
  <si>
    <t>No (95,65%)</t>
  </si>
  <si>
    <t>Sí (60,86%)</t>
  </si>
  <si>
    <t>Estadística i metodologia de la investigació aplicada</t>
  </si>
  <si>
    <t>Activitat física a la natura</t>
  </si>
  <si>
    <t>Noves tendències en l'ensenyament de l'activitat física i l'esport (Tecnologies aplicades a l'educació física, a l'activitat física i a l'esport)</t>
  </si>
  <si>
    <t>Nice</t>
  </si>
  <si>
    <t>Vilafranca del Penedès</t>
  </si>
  <si>
    <t>Perpignan</t>
  </si>
  <si>
    <t>Toulouges</t>
  </si>
  <si>
    <t>Avignon</t>
  </si>
  <si>
    <t>Dra. Carmen Martín</t>
  </si>
  <si>
    <t>Professor col·laborador doctora acreditat</t>
  </si>
  <si>
    <t>Dra. Àngels Tudó</t>
  </si>
  <si>
    <t>Sra. Mar Fraile</t>
  </si>
  <si>
    <t>Sra. Susana Bel</t>
  </si>
  <si>
    <t>Sr. Bernard Boronat</t>
  </si>
  <si>
    <t>Sra. Ainoa Aixendri</t>
  </si>
  <si>
    <t>Dr.Oriol Sansano</t>
  </si>
  <si>
    <t>Anatomia aplicada a l'Activitat física i a l'Esport</t>
  </si>
  <si>
    <t>Dr. Oriol Sansano</t>
  </si>
  <si>
    <t>Fisiologia de l'Exercici I</t>
  </si>
  <si>
    <t>Fisiologia de l'Exercici II</t>
  </si>
  <si>
    <t>Kinesiologia i biomecànica del moviment</t>
  </si>
  <si>
    <t>Psicologia aplicada a l'Activitat Física i a l'Esport</t>
  </si>
  <si>
    <t>Sra. Neus Ramos</t>
  </si>
  <si>
    <t>Desenvolupament motor i iniciació esportiva</t>
  </si>
  <si>
    <t>Dr. Gerson Garrosa</t>
  </si>
  <si>
    <t>Estadística i metodologia de la investigació aplicada a l'Activitat Física</t>
  </si>
  <si>
    <t>Principis didàctics de l'Activitat Física i l'Esport</t>
  </si>
  <si>
    <t>Sr. Pau Cecília</t>
  </si>
  <si>
    <t>Programació en els ensenyaments en el sistema educatiu</t>
  </si>
  <si>
    <t>Sr. Jesús Martí</t>
  </si>
  <si>
    <t>Història i fonaments sòcio-culturals de l'Activitat Física i l'Esport</t>
  </si>
  <si>
    <t xml:space="preserve">Dra. Sílvia Garcías </t>
  </si>
  <si>
    <t>Esports individuals</t>
  </si>
  <si>
    <t>Esports d'adversari</t>
  </si>
  <si>
    <t>Sr. Artur Bel</t>
  </si>
  <si>
    <t>Sr. Xavier Matheu</t>
  </si>
  <si>
    <t>Sr. Ignasi Fàbregues</t>
  </si>
  <si>
    <t>Esports col·lectius</t>
  </si>
  <si>
    <t>Sr. Guillermo Camarero</t>
  </si>
  <si>
    <t>Sr. Jordi Martín</t>
  </si>
  <si>
    <t>Teoria de l'entrenament I</t>
  </si>
  <si>
    <t>Prescripció de l'exercici físic per a la salut</t>
  </si>
  <si>
    <t>Nutrició aplicada a l'Activitat Física i l'Esport</t>
  </si>
  <si>
    <t>Dra. Elsa Gil</t>
  </si>
  <si>
    <t xml:space="preserve">Professor col·laborador doctor </t>
  </si>
  <si>
    <t>Legislació esportiva i direcció de sistemes i organitzacions</t>
  </si>
  <si>
    <t>Sr. Enric Simón</t>
  </si>
  <si>
    <t>Sr. Ramon Cuadrat</t>
  </si>
  <si>
    <t>Sr. Felip Carles</t>
  </si>
  <si>
    <t>Sr. Gerard Monguió</t>
  </si>
  <si>
    <t>Disseny, intervenció i avaluació el l'Educació Física i l'Esport</t>
  </si>
  <si>
    <t>Activitat Física i Esport per a persones amb alguna discapacitat</t>
  </si>
  <si>
    <t>Sr. Marc Cumplí</t>
  </si>
  <si>
    <t>Noves tendències en l'activitat física i qualitat de vida (entrenament personal)</t>
  </si>
  <si>
    <t>Sr. Dídac Carles</t>
  </si>
  <si>
    <t>Professor col.laborador graduat</t>
  </si>
  <si>
    <t>Noves tendències en l'activitat física i qualitat de vida (BTT)</t>
  </si>
  <si>
    <t>Dr.Gerson Garrosa</t>
  </si>
  <si>
    <t>Noves tendències en la gestió i la recreació esportiva (Gestió)</t>
  </si>
  <si>
    <t>Dr. Luis Miguel Fernández</t>
  </si>
  <si>
    <t>Sr. Arnau Lloret</t>
  </si>
  <si>
    <t>Sr. Marc Lloret</t>
  </si>
  <si>
    <t>Sr. Adrià Garcia</t>
  </si>
  <si>
    <t>Noves tendències en l'ensenyament de l'activitat física i l'esport (Educació)</t>
  </si>
  <si>
    <t>Hospitalària</t>
  </si>
  <si>
    <t>Pràctiques curriculars</t>
  </si>
  <si>
    <t>Clínica Terres de l'Ebre</t>
  </si>
  <si>
    <t>Atenció primària</t>
  </si>
  <si>
    <t>Ebreclínic</t>
  </si>
  <si>
    <t>Residència Sant Miquel Arcàngel</t>
  </si>
  <si>
    <t>Geriatria</t>
  </si>
  <si>
    <t>Residència d'Avis d'Amposta</t>
  </si>
  <si>
    <t>Onada Golden Beach</t>
  </si>
  <si>
    <t>La Ràpita</t>
  </si>
  <si>
    <t>Onada Ametlla de Mar</t>
  </si>
  <si>
    <t>l'Ametlla de Mar</t>
  </si>
  <si>
    <t>Onada Deltrebre</t>
  </si>
  <si>
    <t>Onada Alcanar</t>
  </si>
  <si>
    <t>CAP Baix Ebre</t>
  </si>
  <si>
    <t>CAP Gandesa</t>
  </si>
  <si>
    <t>Umivale Activa</t>
  </si>
  <si>
    <t>Hospital Santa Creu de Jesús</t>
  </si>
  <si>
    <t>CAP Ametlla de Mar</t>
  </si>
  <si>
    <t>Ametlla de Mar</t>
  </si>
  <si>
    <t>CAP Batea</t>
  </si>
  <si>
    <t>Batea</t>
  </si>
  <si>
    <t>CAP Deltebre</t>
  </si>
  <si>
    <t>Hospital Comarcal d'Amposta</t>
  </si>
  <si>
    <t>Domiciliàres Tortosa</t>
  </si>
  <si>
    <t>Domiciliària</t>
  </si>
  <si>
    <t>APASA</t>
  </si>
  <si>
    <t>Neurología</t>
  </si>
  <si>
    <t>Domiciliàries Amposta</t>
  </si>
  <si>
    <t>Domiciliàries Ametlla de Mar</t>
  </si>
  <si>
    <t>Fisiomèdic Amposta</t>
  </si>
  <si>
    <t>Return to Play</t>
  </si>
  <si>
    <t>Bruma clínic</t>
  </si>
  <si>
    <t>ASISA</t>
  </si>
  <si>
    <t>Tissulars</t>
  </si>
  <si>
    <t>Vilafortuny</t>
  </si>
  <si>
    <t>Fisioteràpia Tarragona</t>
  </si>
  <si>
    <t>Fontanet Fisioteràpia</t>
  </si>
  <si>
    <t>TOT COS Fisioteràpia</t>
  </si>
  <si>
    <t>Baix Cerdanya</t>
  </si>
  <si>
    <t>Grau en Ciències de l'Activitat Física i l'Esport</t>
  </si>
  <si>
    <t>Clinique de l’Union</t>
  </si>
  <si>
    <t>Rotatori</t>
  </si>
  <si>
    <t>Saint-Jean</t>
  </si>
  <si>
    <t>Clinique Via Domitia</t>
  </si>
  <si>
    <t>Lunel</t>
  </si>
  <si>
    <t>Centre Hospitalier de Tournon sur Rhone</t>
  </si>
  <si>
    <t>Tournon-sur-Rhône</t>
  </si>
  <si>
    <t>CENTRE HOSPITALIER UNIVERSITAIRE DE NIMES</t>
  </si>
  <si>
    <t>Nîmes</t>
  </si>
  <si>
    <t>Clinique Ambroise  Pare</t>
  </si>
  <si>
    <t>Toulouse</t>
  </si>
  <si>
    <t>CLINIQUE DE SAINT ORENS</t>
  </si>
  <si>
    <t>Saint-Orens</t>
  </si>
  <si>
    <t>Clinique Rive Gauche</t>
  </si>
  <si>
    <t>Hopital d'Aix en Provence</t>
  </si>
  <si>
    <t>Aix-en-Provence</t>
  </si>
  <si>
    <t>SMR AMBRUSSUM</t>
  </si>
  <si>
    <t>CHU La Timone - Assistance Publique Hôpitaux de Marseille</t>
  </si>
  <si>
    <t>SPS Therapy</t>
  </si>
  <si>
    <t>Clinique de Blagnac</t>
  </si>
  <si>
    <t>Blagnac</t>
  </si>
  <si>
    <t>Clinique Saint Roch</t>
  </si>
  <si>
    <t>Fronton</t>
  </si>
  <si>
    <t>Clinique du Pont de Chaume</t>
  </si>
  <si>
    <t>Montauban</t>
  </si>
  <si>
    <t xml:space="preserve"> ITEPS </t>
  </si>
  <si>
    <t>Muret</t>
  </si>
  <si>
    <t>Clinique La Croix du Sud</t>
  </si>
  <si>
    <t>Quint-Fonsegrives</t>
  </si>
  <si>
    <t>Centre Magellan</t>
  </si>
  <si>
    <t>Saint-Romain-en-Gal</t>
  </si>
  <si>
    <t>Clinique Pasteur</t>
  </si>
  <si>
    <t>HumanFab</t>
  </si>
  <si>
    <t>maison du sport et de la santé</t>
  </si>
  <si>
    <t>Bordeaux</t>
  </si>
  <si>
    <t xml:space="preserve">Cabinet de kinésithérapie Mandy Rourret / Robine COMBEE </t>
  </si>
  <si>
    <t>Bourg-Saint-Andéol</t>
  </si>
  <si>
    <t>clinique du sud - elsan</t>
  </si>
  <si>
    <t>Carcassonne</t>
  </si>
  <si>
    <t xml:space="preserve">Clinique des Cèdres </t>
  </si>
  <si>
    <t>Cornebarrieu</t>
  </si>
  <si>
    <t>Hôpital Saint Joseph</t>
  </si>
  <si>
    <t>Saint Martin Sport</t>
  </si>
  <si>
    <t xml:space="preserve">SCP MSDFH - cabinet autour de l enfant </t>
  </si>
  <si>
    <t>Centre Pédiatrique de Médecine Physique et de Réadaptation Roquetaillade</t>
  </si>
  <si>
    <t>Roquetaillade</t>
  </si>
  <si>
    <t>Clinique Le Castelet</t>
  </si>
  <si>
    <t>Saint-Jean-de-Védas</t>
  </si>
  <si>
    <t>Le Clos Champirol</t>
  </si>
  <si>
    <t>Saint-Priest-en-Jarez</t>
  </si>
  <si>
    <t>SCM LAGRANGE ET LE MOULIN</t>
  </si>
  <si>
    <t>Verdun-sur-Garonne</t>
  </si>
  <si>
    <t>Centre Hospitalier Agen - Nérac</t>
  </si>
  <si>
    <t>Agen</t>
  </si>
  <si>
    <t>Centre Hospitalier Intercommunal Aix-Pertuis</t>
  </si>
  <si>
    <t xml:space="preserve">CMRF Terres d’Oc (centre de rééducation fonctionnelle) </t>
  </si>
  <si>
    <t>Albi</t>
  </si>
  <si>
    <t>Kinepool</t>
  </si>
  <si>
    <t>Néos Santé</t>
  </si>
  <si>
    <t>Arles</t>
  </si>
  <si>
    <t>VIC MARIE</t>
  </si>
  <si>
    <t>Arreau</t>
  </si>
  <si>
    <t>Kiné-Balneo Bordeaux</t>
  </si>
  <si>
    <t>SMR Centre de Lordat</t>
  </si>
  <si>
    <t>Castelnaudary</t>
  </si>
  <si>
    <t>Clinique du Parc</t>
  </si>
  <si>
    <t>Castelnau-le-Lez</t>
  </si>
  <si>
    <t>Cabinet Juno</t>
  </si>
  <si>
    <t>Castres</t>
  </si>
  <si>
    <t>CLINIQUE CLINEA CRF MER AIR SOLEIL</t>
  </si>
  <si>
    <t>Collioure</t>
  </si>
  <si>
    <t>Clinique du Cabirol</t>
  </si>
  <si>
    <t>Colomiers</t>
  </si>
  <si>
    <t>Cabinet de Réhabilitation Respiratoire</t>
  </si>
  <si>
    <t>La Fare-les-Oliviers</t>
  </si>
  <si>
    <t>Hôpital Universitaire de Réadaptation, de Rééducation et d'Addictologie du CHU de Nîmes- Le Grau du Roi</t>
  </si>
  <si>
    <t>Le-Grau-du-Roi</t>
  </si>
  <si>
    <t>Fisiokid</t>
  </si>
  <si>
    <t>Les Angles</t>
  </si>
  <si>
    <t>Centre Hospitalier Universitaire de Limoges</t>
  </si>
  <si>
    <t>Limoges</t>
  </si>
  <si>
    <t>Polyclinique de Limoges- Sites Chénieux</t>
  </si>
  <si>
    <t xml:space="preserve">Centre hospitalier Tarbes </t>
  </si>
  <si>
    <t>Lourdes</t>
  </si>
  <si>
    <t xml:space="preserve">Cabinet des arènes </t>
  </si>
  <si>
    <t>Cap Santé Saint Loup</t>
  </si>
  <si>
    <t>Centre cardiovasculaire Valmante</t>
  </si>
  <si>
    <t>ELSAN Clinique du Pont de Chaume</t>
  </si>
  <si>
    <t xml:space="preserve">Arnaud de villeneuve. Pôle :  Coeur , poumon </t>
  </si>
  <si>
    <t xml:space="preserve">Gui de Chauliac.  Pôle : Neurologie </t>
  </si>
  <si>
    <t>Lapeyronie.  Pôle : Os et Articulation</t>
  </si>
  <si>
    <t>CHU NIMES</t>
  </si>
  <si>
    <t>GROUPE HOSPITALIER NORD ESSONNE</t>
  </si>
  <si>
    <t>Orsay</t>
  </si>
  <si>
    <t>Clinique du Souffle la Solane, INICEA</t>
  </si>
  <si>
    <t>Osséja</t>
  </si>
  <si>
    <t>Pôle pédiatrique de Cerdagne</t>
  </si>
  <si>
    <t>Institut Saint Pierre</t>
  </si>
  <si>
    <t>Palavas-les-Flots</t>
  </si>
  <si>
    <t xml:space="preserve">Stade Français Paris </t>
  </si>
  <si>
    <t>Paris</t>
  </si>
  <si>
    <t>Pôle de Santé La Reviscolada</t>
  </si>
  <si>
    <t>Clinique du Pic Saint Loup</t>
  </si>
  <si>
    <t>Saint-Clément-de-Rivière</t>
  </si>
  <si>
    <t>Centre Hospitalier de Saintonge</t>
  </si>
  <si>
    <t>Saintes</t>
  </si>
  <si>
    <t xml:space="preserve">Hopitaux Saint-Maurice </t>
  </si>
  <si>
    <t>Saint-Maurice</t>
  </si>
  <si>
    <t>Hôpital du pays Salonais</t>
  </si>
  <si>
    <t>Salon-de-Provence</t>
  </si>
  <si>
    <t>petit a petit</t>
  </si>
  <si>
    <t>SELARL Kinés Pasteur</t>
  </si>
  <si>
    <t xml:space="preserve">Centre des caducées </t>
  </si>
  <si>
    <t>Valence</t>
  </si>
  <si>
    <t>Cabinet de Barthe Simon</t>
  </si>
  <si>
    <t>Villefranche d'Albigeois</t>
  </si>
  <si>
    <t xml:space="preserve">CENTRE GRENETTE </t>
  </si>
  <si>
    <t>Villefranche-sur-Saône</t>
  </si>
  <si>
    <t>Centre Les Feuillades</t>
  </si>
  <si>
    <t>CLINIQUE DE READAPTATION FONCTIONNELLE LES FEUILLADES</t>
  </si>
  <si>
    <t>CRF du Finosello</t>
  </si>
  <si>
    <t>Ajaccio</t>
  </si>
  <si>
    <t>Centre Hospitalier d'Angouleme</t>
  </si>
  <si>
    <t>Angoulême</t>
  </si>
  <si>
    <t>Clinique Provence-Bourbonne</t>
  </si>
  <si>
    <t>Aubagne</t>
  </si>
  <si>
    <t>Centre de convalescence et de rééducation du LAVARIN</t>
  </si>
  <si>
    <t>Cabinet de kinésithérapie du Pôle Médical</t>
  </si>
  <si>
    <t>Béziers</t>
  </si>
  <si>
    <t>Le Cocon</t>
  </si>
  <si>
    <t xml:space="preserve">centre de médecine physique et de réadaptation de bobigny </t>
  </si>
  <si>
    <t>Bobigny</t>
  </si>
  <si>
    <t>centre paramedical du parc riviere</t>
  </si>
  <si>
    <t>SCP PERON CHARRON BIAIS</t>
  </si>
  <si>
    <t>CECILE GARCIN</t>
  </si>
  <si>
    <t>Bouc-Bel-Air</t>
  </si>
  <si>
    <t>SCI CENTRE DE REEDUCATION ET DE THERAPIE MANUELLE DE LA PLAINE</t>
  </si>
  <si>
    <t>Briare</t>
  </si>
  <si>
    <t>SCM therapevo</t>
  </si>
  <si>
    <t xml:space="preserve">Infirmerie Protestante </t>
  </si>
  <si>
    <t>Caluire</t>
  </si>
  <si>
    <t>Clinique Le Mont Ventoux | Inicea</t>
  </si>
  <si>
    <t>Carpentras</t>
  </si>
  <si>
    <t>Cliniques Bourges (SSR Neurologie)</t>
  </si>
  <si>
    <t xml:space="preserve">Centre Hospitalier Intercommunal Castelsarrasin Moissac </t>
  </si>
  <si>
    <t>Castelsarrasin</t>
  </si>
  <si>
    <t>SSR Marguerite Boucicaut</t>
  </si>
  <si>
    <t>Chalon-sur-Saône</t>
  </si>
  <si>
    <t>KineO Santé</t>
  </si>
  <si>
    <t>Clonas-sur-Vareze</t>
  </si>
  <si>
    <t>Centre de kinésithérapie Pôle santé Naspe</t>
  </si>
  <si>
    <t>Hopital Nord Ouest Villefranche sur Saone</t>
  </si>
  <si>
    <t>Gleize</t>
  </si>
  <si>
    <t>SAS Stade Rochelais</t>
  </si>
  <si>
    <t>La Rochelle</t>
  </si>
  <si>
    <t>Centre de readaptation fonctionnelle La Petite Paix</t>
  </si>
  <si>
    <t>Lamalou-les-Bains</t>
  </si>
  <si>
    <t>Cabinet Fisiokid.Kinésithérapie pédiatrique et du périnée</t>
  </si>
  <si>
    <t xml:space="preserve">Centre hospitalier  de Lezignan </t>
  </si>
  <si>
    <t>Lézignan-Corbières</t>
  </si>
  <si>
    <t>Centre hospitalier Lezignan</t>
  </si>
  <si>
    <t>SCM BENIN</t>
  </si>
  <si>
    <t>Lignan-sur-Orb</t>
  </si>
  <si>
    <t>Cliniques IRIS</t>
  </si>
  <si>
    <t>Marcy-l'Étoile</t>
  </si>
  <si>
    <t>Centre HospitalierIntercommunal Marmande-Tonneins</t>
  </si>
  <si>
    <t>Marmande</t>
  </si>
  <si>
    <t>Cabinet de Kinésithérapie Borely</t>
  </si>
  <si>
    <t>Centre Cardio Vasculaire Valmante</t>
  </si>
  <si>
    <t>Institut universitaire de réadaptation Valmante Sud</t>
  </si>
  <si>
    <t>Kiné Prado 24</t>
  </si>
  <si>
    <t>Le Corcova'dos</t>
  </si>
  <si>
    <t>Selarl Kinesitherapeutes Borromees</t>
  </si>
  <si>
    <t>KINEKIDS</t>
  </si>
  <si>
    <t>Mauguio</t>
  </si>
  <si>
    <t>Centre Paul Cézanne</t>
  </si>
  <si>
    <t>Mimet</t>
  </si>
  <si>
    <t>Cabinet kinésitherapie Clairettes Rééducation</t>
  </si>
  <si>
    <t>Montbazin</t>
  </si>
  <si>
    <t>Clinique du Millénaire</t>
  </si>
  <si>
    <t xml:space="preserve"> Les Petites Pousses des Arceaux</t>
  </si>
  <si>
    <t xml:space="preserve">Aux petits d’Antigone </t>
  </si>
  <si>
    <t>Cabinet kinés kids</t>
  </si>
  <si>
    <t>Centre Mutualiste Neurologique Propara</t>
  </si>
  <si>
    <t xml:space="preserve">Clinique Plein Soleil </t>
  </si>
  <si>
    <t>CMN PROPARA</t>
  </si>
  <si>
    <t>Lapeyronie</t>
  </si>
  <si>
    <t>Same Santé</t>
  </si>
  <si>
    <t xml:space="preserve"> Hospital pediatrique foundation Lenval </t>
  </si>
  <si>
    <t xml:space="preserve">Cabinet BAUX Patricia </t>
  </si>
  <si>
    <t>Cabinet de Kinésithérapie des Petits, SCM TOURNIER/KNAFO/CHAPELLIER/CHAUSSE</t>
  </si>
  <si>
    <t>Cabinet Kinésithérapeute Baux Patricia</t>
  </si>
  <si>
    <t>Polyclinique Valdegour</t>
  </si>
  <si>
    <t>ALEFPA Pôle Pédriatique de Cerdagne</t>
  </si>
  <si>
    <t>Clinique du Souffle, Inicea, La Solane</t>
  </si>
  <si>
    <t>Le Nid Bearnais - SSR Pediatrique</t>
  </si>
  <si>
    <t>Pau</t>
  </si>
  <si>
    <t xml:space="preserve">Pau Football Club </t>
  </si>
  <si>
    <t>scp kiné mariotte - clinique saint pierre</t>
  </si>
  <si>
    <t xml:space="preserve">CRCP de Franche-Comté </t>
  </si>
  <si>
    <t>Pont-d'Héry</t>
  </si>
  <si>
    <t>Clinique CARDIOCEAN</t>
  </si>
  <si>
    <t>Puilboreau</t>
  </si>
  <si>
    <t xml:space="preserve">Cabinet femme mère enfant </t>
  </si>
  <si>
    <t xml:space="preserve">KINES LA CROIX DU SUD </t>
  </si>
  <si>
    <t>Cabinet de kinésithérapie de Restinclières</t>
  </si>
  <si>
    <t>Restinclières</t>
  </si>
  <si>
    <t>Centre de réadaptation et rééducation fonctionnelle Les Glamots</t>
  </si>
  <si>
    <t>Roullet-Saint-Estèphe</t>
  </si>
  <si>
    <t xml:space="preserve">Centre reeducation fonctionnelle STER st clément de riviere </t>
  </si>
  <si>
    <t>Etablissement de Médecine, SSR et EHPAD-Site Alfred Leune-Groupe MGEN</t>
  </si>
  <si>
    <t>Sainte-Feyre</t>
  </si>
  <si>
    <t>Kine-Pole-Posturo</t>
  </si>
  <si>
    <t>Saint-Just-Saint-Rambert</t>
  </si>
  <si>
    <t xml:space="preserve">EHPAD Mas de l’Agly </t>
  </si>
  <si>
    <t>Saint-Laurent-de-la-Salanque</t>
  </si>
  <si>
    <t>CRROS, cabinet de reeducation reathletisation orthopedique et sportive</t>
  </si>
  <si>
    <t>Saint-Médard-en-Jalles</t>
  </si>
  <si>
    <t>ACHARD Emilie E.I</t>
  </si>
  <si>
    <t>Saint-Yan</t>
  </si>
  <si>
    <t>Résidence Verte Prairie</t>
  </si>
  <si>
    <t>Centre hospitalier du Bassin de Thau</t>
  </si>
  <si>
    <t>Sète</t>
  </si>
  <si>
    <t>Cabinet de kinésithérapie du centre clinical de Soyaux (Elsan Clinique)</t>
  </si>
  <si>
    <t>Soyaux</t>
  </si>
  <si>
    <t>CAMSP Soyaux adapei 16</t>
  </si>
  <si>
    <t>Centre clinical de Soyaux</t>
  </si>
  <si>
    <t>CHU Toulouse, Hopital des enfants</t>
  </si>
  <si>
    <t>CLINALLIANCE Villiers-sur-Orge</t>
  </si>
  <si>
    <t>Centre hospitalier d'uzès</t>
  </si>
  <si>
    <t>Uzès</t>
  </si>
  <si>
    <t xml:space="preserve">SASP Rugby Club Vannes </t>
  </si>
  <si>
    <t>Vannes</t>
  </si>
  <si>
    <t>Médipôle Lyon-Villeurbane - SSR Pédiatrique La Fougeraie</t>
  </si>
  <si>
    <t>Villeurbanne</t>
  </si>
  <si>
    <t>Clinique de l' Union</t>
  </si>
  <si>
    <t>Estiu</t>
  </si>
  <si>
    <t>D'éte</t>
  </si>
  <si>
    <t>Pràctiques extracurriculars</t>
  </si>
  <si>
    <t>Clinique La Pinède</t>
  </si>
  <si>
    <t>Saint-Estève</t>
  </si>
  <si>
    <t>Clinique Ambroise Paré</t>
  </si>
  <si>
    <t xml:space="preserve">Clinique du Sud - elsan </t>
  </si>
  <si>
    <t>Extraurricular</t>
  </si>
  <si>
    <t>Parascolaire</t>
  </si>
  <si>
    <t>Cabinet LEVEQUE Mathilde E.I.</t>
  </si>
  <si>
    <t>Millau</t>
  </si>
  <si>
    <t>Physiosteo</t>
  </si>
  <si>
    <t>Auzeville-Tolosane</t>
  </si>
  <si>
    <t>Centre Hospitalier Saint Louis</t>
  </si>
  <si>
    <t>Ax-les-Thermes</t>
  </si>
  <si>
    <t>CHIC Centre Hospitalier Intercommunal Castres-Mazamet</t>
  </si>
  <si>
    <t>Cabinet kinésithérapie Gardanne</t>
  </si>
  <si>
    <t>Gardanne</t>
  </si>
  <si>
    <t xml:space="preserve">SCM Kiné Ille </t>
  </si>
  <si>
    <t>Ille-sur-Têt</t>
  </si>
  <si>
    <t>CENTRE HOSPITALIER DE LAVAUR</t>
  </si>
  <si>
    <t>Lavaur</t>
  </si>
  <si>
    <t>centre hospitalier de limoux-quillan</t>
  </si>
  <si>
    <t>Limoux</t>
  </si>
  <si>
    <t>Hôpital Gériatrique de l'Isle Adam parmain géré par la Fondation Chantepie Mancier</t>
  </si>
  <si>
    <t>L'Isle-Adam</t>
  </si>
  <si>
    <t>Clinique Saint Martin Sud</t>
  </si>
  <si>
    <t>SMR Paul Cézanne</t>
  </si>
  <si>
    <t>Centre mutualiste neurologique PROPARA</t>
  </si>
  <si>
    <t xml:space="preserve">Cabinet de Kinésithérapie de la Coupe </t>
  </si>
  <si>
    <t>cssr les glamots</t>
  </si>
  <si>
    <t>Centre hospitalier de Saint-Pons de Thomières</t>
  </si>
  <si>
    <t>Saint-Pons-de-Thomières</t>
  </si>
  <si>
    <t xml:space="preserve">Centre Hospitalier Du Bassin De Thau- Hopital Saint-Clair </t>
  </si>
  <si>
    <t>Hôpital Haut-Levêque</t>
  </si>
  <si>
    <t>Talence</t>
  </si>
  <si>
    <t>Cabinet liberale Lacourt Bruno</t>
  </si>
  <si>
    <t>Villeveyrac</t>
  </si>
  <si>
    <t>Centre Hospitalier Pays d'Aix</t>
  </si>
  <si>
    <t>CRF Finosello Ajaccio</t>
  </si>
  <si>
    <t>AL Sola</t>
  </si>
  <si>
    <t>Amélie-les-Bains</t>
  </si>
  <si>
    <t>Clinique médicale et cardiologique d'Aressy - ELSAN</t>
  </si>
  <si>
    <t>Aressy</t>
  </si>
  <si>
    <t>centre hospitalier d'Arles -CHU Joseph Imbert</t>
  </si>
  <si>
    <t>Clinique Provence-Bourbonne - Ramsay Santé</t>
  </si>
  <si>
    <t>réeducation des cliniques provences-boubonne</t>
  </si>
  <si>
    <t>Clinique les CYPRES INICEA</t>
  </si>
  <si>
    <t>Clinique de réadaptation « Midi-Gascogne »</t>
  </si>
  <si>
    <t>Beaumont-de-Lomagne</t>
  </si>
  <si>
    <t xml:space="preserve"> Clinique de Cèdres- Ramsay</t>
  </si>
  <si>
    <t xml:space="preserve">Clinique de Blagnac </t>
  </si>
  <si>
    <t>Centre de la Tour de Gassies</t>
  </si>
  <si>
    <t>Bruges</t>
  </si>
  <si>
    <t>polyclinique médipole saint roch</t>
  </si>
  <si>
    <t>Cabestany</t>
  </si>
  <si>
    <t>SELARL BALNEO-KINESITHERAPIE</t>
  </si>
  <si>
    <t>Hopital Louis Mourier</t>
  </si>
  <si>
    <t>Colombes</t>
  </si>
  <si>
    <t>Cabinet de kinésiterapie - Noémie Briols</t>
  </si>
  <si>
    <t>Centre de Réadaptation de Coubert</t>
  </si>
  <si>
    <t>Coubert</t>
  </si>
  <si>
    <t>Centre Hospitalier Etienne Clémentel</t>
  </si>
  <si>
    <t>Enval</t>
  </si>
  <si>
    <t>Consulta Cruz Thierry</t>
  </si>
  <si>
    <t>Grenade</t>
  </si>
  <si>
    <t xml:space="preserve">Hôpital privé Drôme Ardèche </t>
  </si>
  <si>
    <t>Guilherand-Granges</t>
  </si>
  <si>
    <t>CMPR Bretegnier</t>
  </si>
  <si>
    <t>Héricourt</t>
  </si>
  <si>
    <t>Institut de Rééducation Fonctionnelle Pomponiana</t>
  </si>
  <si>
    <t>Hyères</t>
  </si>
  <si>
    <t xml:space="preserve">Centre Hospitalier de la Rochefoucauld </t>
  </si>
  <si>
    <t>La Rochefoucauld</t>
  </si>
  <si>
    <t>CHU Grenoble Alpes</t>
  </si>
  <si>
    <t>La Tronche</t>
  </si>
  <si>
    <t xml:space="preserve">Centre hospitalier de lavaur </t>
  </si>
  <si>
    <t>SCM pôle de rééducation camarguais</t>
  </si>
  <si>
    <t>Le Grau-du-Roi</t>
  </si>
  <si>
    <t>CHU de Limoges</t>
  </si>
  <si>
    <t>clinique de la sauvegarde</t>
  </si>
  <si>
    <t>Lyon</t>
  </si>
  <si>
    <t>Hôpital de la Croix-Rousse</t>
  </si>
  <si>
    <t xml:space="preserve">Clinique les pins </t>
  </si>
  <si>
    <t>Institut universitaire de réadaptation valmante sud</t>
  </si>
  <si>
    <t xml:space="preserve">Centre médical saphir </t>
  </si>
  <si>
    <t>Martinique</t>
  </si>
  <si>
    <t>Kalipso</t>
  </si>
  <si>
    <t>Monistrol-sur-Loire</t>
  </si>
  <si>
    <t>Clinique du Pont de Chaume - ELSAN</t>
  </si>
  <si>
    <t xml:space="preserve">Clinique pont de chaume </t>
  </si>
  <si>
    <t xml:space="preserve">Kiné kids </t>
  </si>
  <si>
    <t>samesante</t>
  </si>
  <si>
    <t xml:space="preserve">Cabinet de kinésithérapie du stade </t>
  </si>
  <si>
    <t>Centre Hospitalier Universitaire (CHU) Carémeau de Nîmes</t>
  </si>
  <si>
    <t xml:space="preserve">Institut Saint Pierre </t>
  </si>
  <si>
    <t>Cabinet de Rééducation Rodin</t>
  </si>
  <si>
    <t>USSAP - Centre Bouffard-Vercelli</t>
  </si>
  <si>
    <t>Centre de rééducation Maurice Gantchoula</t>
  </si>
  <si>
    <t>Pionsat</t>
  </si>
  <si>
    <t>Centre de Rééducation du confluent</t>
  </si>
  <si>
    <t>Portet-sur-Garonne</t>
  </si>
  <si>
    <t>clinique la croix du sud ramsay santé</t>
  </si>
  <si>
    <t>Centre de Réadaptation et Rééducation Fonctionnelle les Glamots</t>
  </si>
  <si>
    <t>Centre Hospitalier Ariège Couserans</t>
  </si>
  <si>
    <t>Saint-Girons</t>
  </si>
  <si>
    <t>Clinique Le-Castelet (Centre de Rééducation)</t>
  </si>
  <si>
    <t xml:space="preserve">centre hospitalier du val d'ariège </t>
  </si>
  <si>
    <t>Saint-Jean-de-Verges</t>
  </si>
  <si>
    <t>Centre Hospitalier Intercommunal des Vallées de l’Ariège</t>
  </si>
  <si>
    <t xml:space="preserve">Clinique Saint - Orens </t>
  </si>
  <si>
    <t>Saint-Orens-de-Gameville</t>
  </si>
  <si>
    <t>CERS Saint-Raphaël</t>
  </si>
  <si>
    <t>Saint-Raphaël</t>
  </si>
  <si>
    <t>CABINET Lorena Butto</t>
  </si>
  <si>
    <t>SCM JAURES REEDUCATION</t>
  </si>
  <si>
    <t>Villemoustaussou</t>
  </si>
  <si>
    <t xml:space="preserve"> Cabinet de soins Jules Ferry</t>
  </si>
  <si>
    <t>Yzeure</t>
  </si>
  <si>
    <t>Institut tecnificació</t>
  </si>
  <si>
    <t>Educació</t>
  </si>
  <si>
    <t>Curriculars</t>
  </si>
  <si>
    <t>CAR - Biomecànica</t>
  </si>
  <si>
    <t>Rendiment</t>
  </si>
  <si>
    <t>Sant Cugat del Vallès</t>
  </si>
  <si>
    <t>Ajuntament d'Alcanar</t>
  </si>
  <si>
    <t>Gestió</t>
  </si>
  <si>
    <t>Viu sense límits</t>
  </si>
  <si>
    <t>Gestió AFMN</t>
  </si>
  <si>
    <t>INS Maria Rosa Molas</t>
  </si>
  <si>
    <t>Futsal Ebre</t>
  </si>
  <si>
    <t>Espai d'Esport</t>
  </si>
  <si>
    <t>Salut</t>
  </si>
  <si>
    <t>Villarreal CF SAD</t>
  </si>
  <si>
    <t>Villarreal</t>
  </si>
  <si>
    <t>Fisio GetBack</t>
  </si>
  <si>
    <t>IES Maestrat</t>
  </si>
  <si>
    <t>Sant Mateu</t>
  </si>
  <si>
    <t>Fed. Andorrana Futbol</t>
  </si>
  <si>
    <t>CTE Terres de l'Ebre</t>
  </si>
  <si>
    <t>Dynami</t>
  </si>
  <si>
    <t>One Salut Integral</t>
  </si>
  <si>
    <t>Reus esport i lleure</t>
  </si>
  <si>
    <t>IES La Candelera</t>
  </si>
  <si>
    <t>L'Ametlla de mar</t>
  </si>
  <si>
    <t>CC Vidal i Barraquer</t>
  </si>
  <si>
    <t>Cambrils</t>
  </si>
  <si>
    <t>IES Deltebre</t>
  </si>
  <si>
    <t>Reset Esport</t>
  </si>
  <si>
    <t>OMC</t>
  </si>
  <si>
    <t>Extra curriculars</t>
  </si>
  <si>
    <t>CP L'Aldea</t>
  </si>
  <si>
    <t>L'Aldea</t>
  </si>
  <si>
    <t>CG Tarragona</t>
  </si>
  <si>
    <t>COPLEC</t>
  </si>
  <si>
    <t>Promoció 2017 - 2022</t>
  </si>
  <si>
    <t>Promoció 2018 - 2023</t>
  </si>
  <si>
    <t>Promoció 2019 - 2024</t>
  </si>
  <si>
    <t>Promoció 2020 - 2025</t>
  </si>
  <si>
    <t>Promoció 2021 - 2026</t>
  </si>
  <si>
    <t>Promoció 2022 - 2027</t>
  </si>
  <si>
    <t>Promoció 2023 - 2028</t>
  </si>
  <si>
    <t xml:space="preserve">http://www.urv.cat/ca/estudis/graus/admissio/acces/               
https://www.urv.cat/ca/estudis/graus/admissio/acces/preinscripcio/
https://www.urv.cat/ca/estudis/graus/admissio/reconeixements/  
https://www.urv.cat/ca/estudis/graus/admissio/matricula/  
https://tarragona.euses.cat/estudis/grau-en-fisioterapia-tarragona/
https://tarragona.euses.cat/estudis/grau-ciencies-activitat-fisica-i-esport-cafe-tarragona/
https://tarragona.euses.cat/estudis/doble-titulacio-cafe-fisioterapia/
https://www.urv.cat/ca/estudis/graus/tramits/#trasllat    
https://www.urv.cat/ca/estudis/graus/informacio-economica/beques/ </t>
  </si>
  <si>
    <t>https://tarragona.euses.cat/els-nostres-estudis/graus-universitaris/ 
https://www.urv.cat/ca/vida-campus/serveis/crai/
https://tarragona.euses.cat/wp-content/uploads/2020/04/5.-Processos-de-qualitat-clau.pdf</t>
  </si>
  <si>
    <t>https://tarragona.euses.cat/qualitat/  
https://estudis.aqu.cat/euc/ca/Titulacions/Fitxa?titulacioId=15691
https://estudis.aqu.cat/euc/ca/Titulacions/Fitxa?titulacioId=10293  
https://www.educacion.gob.es/ruct/consultaestudios?actual=estudios</t>
  </si>
  <si>
    <t>7 </t>
  </si>
  <si>
    <t> 38</t>
  </si>
  <si>
    <t> 266</t>
  </si>
  <si>
    <t> -</t>
  </si>
  <si>
    <t>- </t>
  </si>
  <si>
    <t>100 </t>
  </si>
  <si>
    <t> 134</t>
  </si>
  <si>
    <t>4 </t>
  </si>
  <si>
    <t> 105</t>
  </si>
  <si>
    <t>25 </t>
  </si>
  <si>
    <t> 60</t>
  </si>
  <si>
    <t>93 </t>
  </si>
  <si>
    <t> 100</t>
  </si>
  <si>
    <t>Hospital de Tortosa Verge de la Cinta</t>
  </si>
  <si>
    <t>Maison du sport et de la santé</t>
  </si>
  <si>
    <t>Clinique du sud - elsan</t>
  </si>
  <si>
    <t xml:space="preserve">SCP MSDFH - cabinet autour de l'enfant </t>
  </si>
  <si>
    <t xml:space="preserve">Centre de médecine physique et de réadaptation de bobigny </t>
  </si>
  <si>
    <t>Centre paramedical du parc riviere</t>
  </si>
  <si>
    <t>Centre hospitalier d'Arles -CHU Joseph Imbert</t>
  </si>
  <si>
    <t>Réeducation des cliniques Provences-Boubonne</t>
  </si>
  <si>
    <t>Polyclinique médipole saint roch</t>
  </si>
  <si>
    <t>5,05 anys</t>
  </si>
  <si>
    <t>4,46 anys</t>
  </si>
  <si>
    <t>Taula 36. Satisfacció dels graduats amb l'experiència educativa global. Edició 2023.</t>
  </si>
  <si>
    <t>Data informe: 09/12/2024</t>
  </si>
  <si>
    <t>50/45=1,11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</si>
</sst>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b/>
      <sz val="10"/>
      <color indexed="8"/>
      <name val="Verdana"/>
      <family val="2"/>
    </font>
    <font>
      <sz val="8"/>
      <color indexed="8"/>
      <name val="Verdana"/>
      <family val="2"/>
    </font>
    <font>
      <sz val="10"/>
      <color indexed="8"/>
      <name val="Arial"/>
      <family val="2"/>
    </font>
    <font>
      <b/>
      <sz val="10"/>
      <color rgb="FF000000"/>
      <name val="Verdana"/>
      <family val="2"/>
    </font>
    <font>
      <b/>
      <sz val="8"/>
      <color rgb="FFFFFFFF"/>
      <name val="Verdana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10"/>
      <color rgb="FFFF0000"/>
      <name val="Verdana"/>
      <family val="2"/>
    </font>
    <font>
      <b/>
      <sz val="10"/>
      <color indexed="8"/>
      <name val="Arial"/>
      <family val="2"/>
    </font>
    <font>
      <sz val="8"/>
      <color rgb="FF000000"/>
      <name val="Calibri"/>
      <family val="2"/>
      <scheme val="minor"/>
    </font>
    <font>
      <b/>
      <sz val="8"/>
      <color indexed="8"/>
      <name val="Verdana"/>
      <family val="2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Verdana"/>
      <family val="2"/>
    </font>
    <font>
      <sz val="8"/>
      <name val="Verdana"/>
      <family val="2"/>
    </font>
    <font>
      <sz val="8"/>
      <color rgb="FFFF0000"/>
      <name val="Verdana"/>
      <family val="2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8"/>
      <color theme="1"/>
      <name val="Verdana"/>
      <family val="2"/>
    </font>
    <font>
      <b/>
      <sz val="8"/>
      <name val="Verdana"/>
      <family val="2"/>
    </font>
    <font>
      <sz val="1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Verdana"/>
      <family val="2"/>
    </font>
    <font>
      <sz val="8"/>
      <name val="Calibri"/>
      <family val="2"/>
      <scheme val="minor"/>
    </font>
    <font>
      <b/>
      <sz val="8"/>
      <color theme="0"/>
      <name val="Verdana"/>
      <family val="2"/>
    </font>
    <font>
      <sz val="10"/>
      <name val="Arial"/>
      <family val="2"/>
    </font>
    <font>
      <u/>
      <sz val="8"/>
      <color rgb="FF000000"/>
      <name val="Tahoma"/>
      <family val="2"/>
    </font>
    <font>
      <b/>
      <sz val="10"/>
      <color rgb="FFFF0000"/>
      <name val="Verdana"/>
      <family val="2"/>
    </font>
    <font>
      <sz val="8"/>
      <color indexed="8"/>
      <name val="Arial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u/>
      <sz val="14"/>
      <color indexed="8"/>
      <name val="Calibri"/>
      <family val="2"/>
    </font>
    <font>
      <b/>
      <u/>
      <sz val="8"/>
      <color indexed="8"/>
      <name val="Verdana"/>
      <family val="2"/>
    </font>
    <font>
      <b/>
      <sz val="10"/>
      <color theme="1"/>
      <name val="Arial"/>
      <family val="2"/>
    </font>
    <font>
      <b/>
      <sz val="11"/>
      <color theme="1"/>
      <name val="Verdana"/>
      <family val="2"/>
    </font>
    <font>
      <b/>
      <sz val="11"/>
      <color rgb="FF000000"/>
      <name val="Verdana"/>
      <family val="2"/>
    </font>
    <font>
      <b/>
      <sz val="11"/>
      <color indexed="8"/>
      <name val="Calibri"/>
      <family val="2"/>
      <scheme val="minor"/>
    </font>
    <font>
      <b/>
      <sz val="10"/>
      <color rgb="FFFF0000"/>
      <name val="Arial"/>
      <family val="2"/>
    </font>
    <font>
      <sz val="9"/>
      <color rgb="FFFF0000"/>
      <name val="Calibri Light"/>
      <family val="2"/>
      <scheme val="major"/>
    </font>
    <font>
      <b/>
      <sz val="8"/>
      <color rgb="FFFF0000"/>
      <name val="Verdana"/>
      <family val="2"/>
    </font>
    <font>
      <sz val="11"/>
      <color rgb="FF000000"/>
      <name val="Calibri"/>
      <family val="2"/>
    </font>
    <font>
      <sz val="7.5"/>
      <color theme="1"/>
      <name val="Verdana"/>
      <family val="2"/>
    </font>
    <font>
      <b/>
      <sz val="7.5"/>
      <color rgb="FFFFFFFF"/>
      <name val="Verdana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8"/>
      <color rgb="FFFFFFFF"/>
      <name val="Verdana"/>
      <family val="2"/>
    </font>
    <font>
      <sz val="10"/>
      <color rgb="FFFF0000"/>
      <name val="Calibri"/>
      <family val="2"/>
      <scheme val="minor"/>
    </font>
    <font>
      <b/>
      <sz val="14"/>
      <name val="Arial"/>
      <family val="2"/>
    </font>
    <font>
      <sz val="10"/>
      <name val="Verdana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8"/>
      <color theme="0"/>
      <name val="Verdana"/>
      <family val="2"/>
    </font>
    <font>
      <u/>
      <sz val="9"/>
      <color theme="10"/>
      <name val="Calibri Light"/>
      <family val="2"/>
      <scheme val="major"/>
    </font>
    <font>
      <u/>
      <sz val="9"/>
      <name val="Calibri Light"/>
      <family val="2"/>
      <scheme val="major"/>
    </font>
  </fonts>
  <fills count="29">
    <fill>
      <patternFill patternType="none"/>
    </fill>
    <fill>
      <patternFill patternType="gray125"/>
    </fill>
    <fill>
      <patternFill patternType="solid">
        <fgColor rgb="FF94363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theme="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363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/>
        <bgColor indexed="0"/>
      </patternFill>
    </fill>
    <fill>
      <patternFill patternType="solid">
        <fgColor theme="0" tint="-0.499984740745262"/>
        <bgColor indexed="0"/>
      </patternFill>
    </fill>
    <fill>
      <patternFill patternType="solid">
        <fgColor theme="2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rgb="FFC86664"/>
        <bgColor indexed="64"/>
      </patternFill>
    </fill>
  </fills>
  <borders count="1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rgb="FFA6A6A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rgb="FFA6A6A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theme="0" tint="-0.34998626667073579"/>
      </top>
      <bottom/>
      <diagonal/>
    </border>
    <border>
      <left/>
      <right/>
      <top style="thin">
        <color auto="1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medium">
        <color theme="0" tint="-0.34998626667073579"/>
      </bottom>
      <diagonal/>
    </border>
    <border>
      <left style="thin">
        <color indexed="64"/>
      </left>
      <right/>
      <top/>
      <bottom style="medium">
        <color theme="0" tint="-0.34998626667073579"/>
      </bottom>
      <diagonal/>
    </border>
    <border>
      <left/>
      <right style="thin">
        <color indexed="64"/>
      </right>
      <top/>
      <bottom style="medium">
        <color theme="0" tint="-0.34998626667073579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theme="0" tint="-0.34998626667073579"/>
      </top>
      <bottom style="medium">
        <color auto="1"/>
      </bottom>
      <diagonal/>
    </border>
    <border>
      <left/>
      <right/>
      <top style="medium">
        <color rgb="FFA6A6A6"/>
      </top>
      <bottom style="medium">
        <color auto="1"/>
      </bottom>
      <diagonal/>
    </border>
    <border>
      <left/>
      <right/>
      <top style="medium">
        <color rgb="FFA6A6A6"/>
      </top>
      <bottom style="medium">
        <color rgb="FFA6A6A6"/>
      </bottom>
      <diagonal/>
    </border>
    <border>
      <left/>
      <right style="medium">
        <color theme="0" tint="-0.34998626667073579"/>
      </right>
      <top/>
      <bottom/>
      <diagonal/>
    </border>
    <border>
      <left/>
      <right style="medium">
        <color theme="0" tint="-0.34998626667073579"/>
      </right>
      <top/>
      <bottom style="medium">
        <color indexed="64"/>
      </bottom>
      <diagonal/>
    </border>
    <border>
      <left style="medium">
        <color theme="0" tint="-0.34998626667073579"/>
      </left>
      <right/>
      <top/>
      <bottom style="medium">
        <color indexed="64"/>
      </bottom>
      <diagonal/>
    </border>
    <border>
      <left/>
      <right style="medium">
        <color theme="0" tint="-0.34998626667073579"/>
      </right>
      <top/>
      <bottom style="thin">
        <color indexed="64"/>
      </bottom>
      <diagonal/>
    </border>
    <border>
      <left style="medium">
        <color theme="0" tint="-0.34998626667073579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theme="0" tint="-0.34998626667073579"/>
      </top>
      <bottom/>
      <diagonal/>
    </border>
    <border>
      <left/>
      <right style="thin">
        <color auto="1"/>
      </right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 style="thin">
        <color indexed="64"/>
      </bottom>
      <diagonal/>
    </border>
    <border>
      <left/>
      <right/>
      <top style="medium">
        <color auto="1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indexed="64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A5A5A5"/>
      </right>
      <top/>
      <bottom/>
      <diagonal/>
    </border>
    <border>
      <left/>
      <right style="medium">
        <color rgb="FFA5A5A5"/>
      </right>
      <top/>
      <bottom style="thin">
        <color rgb="FF000000"/>
      </bottom>
      <diagonal/>
    </border>
    <border>
      <left/>
      <right style="medium">
        <color rgb="FFA5A5A5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auto="1"/>
      </top>
      <bottom style="medium">
        <color theme="0" tint="-0.34998626667073579"/>
      </bottom>
      <diagonal/>
    </border>
    <border>
      <left/>
      <right/>
      <top/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theme="0" tint="-0.34998626667073579"/>
      </right>
      <top style="thin">
        <color auto="1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auto="1"/>
      </bottom>
      <diagonal/>
    </border>
    <border>
      <left style="thin">
        <color theme="0"/>
      </left>
      <right/>
      <top/>
      <bottom style="thin">
        <color auto="1"/>
      </bottom>
      <diagonal/>
    </border>
    <border>
      <left style="thin">
        <color indexed="64"/>
      </left>
      <right/>
      <top style="medium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medium">
        <color theme="0" tint="-0.34998626667073579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theme="0" tint="-0.34998626667073579"/>
      </bottom>
      <diagonal/>
    </border>
    <border>
      <left style="thin">
        <color indexed="64"/>
      </left>
      <right/>
      <top style="medium">
        <color auto="1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indexed="64"/>
      </bottom>
      <diagonal/>
    </border>
    <border>
      <left/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theme="0" tint="-0.34998626667073579"/>
      </bottom>
      <diagonal/>
    </border>
    <border>
      <left/>
      <right style="thin">
        <color indexed="64"/>
      </right>
      <top style="medium">
        <color theme="0" tint="-0.34998626667073579"/>
      </top>
      <bottom style="medium">
        <color auto="1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auto="1"/>
      </top>
      <bottom style="medium">
        <color rgb="FFA5A5A5"/>
      </bottom>
      <diagonal/>
    </border>
    <border>
      <left/>
      <right/>
      <top style="medium">
        <color theme="0" tint="-0.34998626667073579"/>
      </top>
      <bottom style="medium">
        <color rgb="FFA5A5A5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/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4" fillId="10" borderId="0" applyNumberFormat="0" applyBorder="0" applyAlignment="0" applyProtection="0"/>
    <xf numFmtId="0" fontId="17" fillId="0" borderId="0" applyNumberFormat="0" applyFill="0" applyBorder="0" applyAlignment="0" applyProtection="0"/>
    <xf numFmtId="0" fontId="34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34" fillId="0" borderId="0"/>
  </cellStyleXfs>
  <cellXfs count="1334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0" fontId="4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10" fontId="0" fillId="0" borderId="0" xfId="0" applyNumberFormat="1"/>
    <xf numFmtId="0" fontId="4" fillId="0" borderId="0" xfId="0" applyFont="1" applyAlignment="1">
      <alignment horizontal="justify" vertical="center"/>
    </xf>
    <xf numFmtId="2" fontId="0" fillId="0" borderId="0" xfId="0" applyNumberFormat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 wrapText="1"/>
    </xf>
    <xf numFmtId="14" fontId="12" fillId="0" borderId="0" xfId="0" applyNumberFormat="1" applyFont="1" applyAlignment="1">
      <alignment horizontal="left" wrapText="1"/>
    </xf>
    <xf numFmtId="0" fontId="0" fillId="0" borderId="0" xfId="0" applyAlignment="1">
      <alignment horizontal="center"/>
    </xf>
    <xf numFmtId="164" fontId="10" fillId="0" borderId="0" xfId="2" applyNumberFormat="1" applyFont="1"/>
    <xf numFmtId="0" fontId="6" fillId="0" borderId="0" xfId="0" applyFont="1" applyAlignment="1">
      <alignment horizontal="left" vertical="center"/>
    </xf>
    <xf numFmtId="10" fontId="0" fillId="0" borderId="0" xfId="1" applyNumberFormat="1" applyFont="1"/>
    <xf numFmtId="0" fontId="9" fillId="0" borderId="0" xfId="0" applyFont="1" applyAlignment="1">
      <alignment vertical="center"/>
    </xf>
    <xf numFmtId="10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5" fillId="0" borderId="0" xfId="2"/>
    <xf numFmtId="0" fontId="9" fillId="0" borderId="0" xfId="2" applyFont="1" applyAlignment="1">
      <alignment vertical="center"/>
    </xf>
    <xf numFmtId="10" fontId="9" fillId="0" borderId="0" xfId="2" applyNumberFormat="1" applyFont="1" applyAlignment="1">
      <alignment horizontal="right" vertical="center"/>
    </xf>
    <xf numFmtId="0" fontId="9" fillId="0" borderId="0" xfId="0" applyFont="1" applyAlignment="1">
      <alignment vertical="center" wrapText="1"/>
    </xf>
    <xf numFmtId="9" fontId="9" fillId="0" borderId="0" xfId="0" applyNumberFormat="1" applyFont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7" fillId="2" borderId="0" xfId="2" applyFont="1" applyFill="1" applyAlignment="1">
      <alignment horizontal="center" vertical="center" wrapText="1"/>
    </xf>
    <xf numFmtId="0" fontId="9" fillId="0" borderId="12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4" fillId="0" borderId="0" xfId="2" applyFont="1"/>
    <xf numFmtId="0" fontId="18" fillId="0" borderId="0" xfId="0" applyFont="1"/>
    <xf numFmtId="0" fontId="22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justify" vertical="center"/>
    </xf>
    <xf numFmtId="0" fontId="22" fillId="0" borderId="0" xfId="0" applyFont="1" applyAlignment="1">
      <alignment horizontal="left" vertical="top" wrapText="1"/>
    </xf>
    <xf numFmtId="0" fontId="6" fillId="0" borderId="0" xfId="0" applyFont="1" applyAlignment="1">
      <alignment horizontal="justify" vertical="center"/>
    </xf>
    <xf numFmtId="0" fontId="22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horizontal="left" vertical="center"/>
    </xf>
    <xf numFmtId="0" fontId="27" fillId="0" borderId="0" xfId="0" applyFont="1"/>
    <xf numFmtId="0" fontId="22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15" fillId="0" borderId="0" xfId="0" applyFont="1"/>
    <xf numFmtId="0" fontId="21" fillId="0" borderId="0" xfId="0" applyFont="1" applyAlignment="1">
      <alignment horizontal="justify" vertical="center"/>
    </xf>
    <xf numFmtId="0" fontId="29" fillId="0" borderId="0" xfId="0" applyFont="1" applyAlignment="1">
      <alignment horizontal="justify" vertical="center"/>
    </xf>
    <xf numFmtId="0" fontId="28" fillId="0" borderId="0" xfId="0" applyFont="1" applyAlignment="1">
      <alignment horizontal="justify" vertical="center"/>
    </xf>
    <xf numFmtId="0" fontId="35" fillId="0" borderId="0" xfId="0" applyFont="1"/>
    <xf numFmtId="0" fontId="0" fillId="0" borderId="0" xfId="0" applyAlignment="1">
      <alignment vertical="center"/>
    </xf>
    <xf numFmtId="1" fontId="39" fillId="0" borderId="0" xfId="0" applyNumberFormat="1" applyFont="1" applyProtection="1">
      <protection locked="0"/>
    </xf>
    <xf numFmtId="49" fontId="39" fillId="0" borderId="0" xfId="0" applyNumberFormat="1" applyFont="1" applyProtection="1">
      <protection locked="0"/>
    </xf>
    <xf numFmtId="0" fontId="40" fillId="0" borderId="0" xfId="6" applyFont="1" applyAlignment="1">
      <alignment horizontal="left" wrapText="1"/>
    </xf>
    <xf numFmtId="0" fontId="41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28" fillId="0" borderId="0" xfId="0" applyFont="1" applyAlignment="1">
      <alignment horizontal="left" vertical="center"/>
    </xf>
    <xf numFmtId="10" fontId="0" fillId="0" borderId="0" xfId="0" applyNumberFormat="1" applyAlignment="1">
      <alignment horizont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10" fontId="22" fillId="0" borderId="0" xfId="0" applyNumberFormat="1" applyFont="1" applyAlignment="1">
      <alignment horizontal="center" vertical="center" wrapText="1"/>
    </xf>
    <xf numFmtId="0" fontId="37" fillId="0" borderId="0" xfId="0" applyFont="1"/>
    <xf numFmtId="0" fontId="25" fillId="0" borderId="0" xfId="0" applyFont="1" applyAlignment="1">
      <alignment vertical="center" wrapText="1"/>
    </xf>
    <xf numFmtId="0" fontId="38" fillId="0" borderId="0" xfId="0" applyFont="1"/>
    <xf numFmtId="0" fontId="42" fillId="0" borderId="0" xfId="0" applyFont="1" applyAlignment="1">
      <alignment horizontal="center"/>
    </xf>
    <xf numFmtId="0" fontId="30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/>
    </xf>
    <xf numFmtId="0" fontId="22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5" fillId="0" borderId="0" xfId="2" applyAlignment="1">
      <alignment vertical="center"/>
    </xf>
    <xf numFmtId="0" fontId="25" fillId="17" borderId="16" xfId="2" applyFont="1" applyFill="1" applyBorder="1" applyAlignment="1">
      <alignment horizontal="center" vertical="center" wrapText="1"/>
    </xf>
    <xf numFmtId="0" fontId="13" fillId="0" borderId="22" xfId="8" applyFont="1" applyBorder="1" applyAlignment="1">
      <alignment vertical="center" wrapText="1"/>
    </xf>
    <xf numFmtId="0" fontId="4" fillId="0" borderId="22" xfId="9" applyFont="1" applyBorder="1" applyAlignment="1">
      <alignment horizontal="center" wrapText="1"/>
    </xf>
    <xf numFmtId="0" fontId="4" fillId="0" borderId="23" xfId="9" applyFont="1" applyBorder="1" applyAlignment="1">
      <alignment horizontal="center" wrapText="1"/>
    </xf>
    <xf numFmtId="0" fontId="13" fillId="0" borderId="1" xfId="8" applyFont="1" applyBorder="1" applyAlignment="1">
      <alignment vertical="center" wrapText="1"/>
    </xf>
    <xf numFmtId="0" fontId="4" fillId="0" borderId="1" xfId="7" applyFont="1" applyBorder="1" applyAlignment="1">
      <alignment wrapText="1"/>
    </xf>
    <xf numFmtId="0" fontId="4" fillId="0" borderId="1" xfId="7" applyFont="1" applyBorder="1" applyAlignment="1">
      <alignment horizontal="center" wrapText="1"/>
    </xf>
    <xf numFmtId="0" fontId="4" fillId="0" borderId="1" xfId="9" applyFont="1" applyBorder="1" applyAlignment="1">
      <alignment horizontal="center" wrapText="1"/>
    </xf>
    <xf numFmtId="0" fontId="4" fillId="0" borderId="25" xfId="9" applyFont="1" applyBorder="1" applyAlignment="1">
      <alignment horizontal="center" wrapText="1"/>
    </xf>
    <xf numFmtId="0" fontId="13" fillId="0" borderId="27" xfId="8" applyFont="1" applyBorder="1" applyAlignment="1">
      <alignment vertical="center" wrapText="1"/>
    </xf>
    <xf numFmtId="0" fontId="45" fillId="0" borderId="0" xfId="7" applyFont="1" applyAlignment="1">
      <alignment horizontal="left" wrapText="1"/>
    </xf>
    <xf numFmtId="0" fontId="13" fillId="0" borderId="1" xfId="8" applyFont="1" applyBorder="1" applyAlignment="1">
      <alignment horizontal="left" vertical="center" wrapText="1"/>
    </xf>
    <xf numFmtId="0" fontId="13" fillId="0" borderId="27" xfId="8" applyFont="1" applyBorder="1" applyAlignment="1">
      <alignment horizontal="left" vertical="center" wrapText="1"/>
    </xf>
    <xf numFmtId="0" fontId="4" fillId="0" borderId="34" xfId="8" applyFont="1" applyBorder="1" applyAlignment="1">
      <alignment horizontal="center" vertical="center" wrapText="1"/>
    </xf>
    <xf numFmtId="0" fontId="4" fillId="0" borderId="0" xfId="2" applyFont="1" applyAlignment="1">
      <alignment vertical="center"/>
    </xf>
    <xf numFmtId="0" fontId="4" fillId="0" borderId="22" xfId="8" applyFont="1" applyBorder="1" applyAlignment="1">
      <alignment horizontal="center" vertical="center" wrapText="1"/>
    </xf>
    <xf numFmtId="0" fontId="4" fillId="0" borderId="5" xfId="8" applyFont="1" applyBorder="1" applyAlignment="1">
      <alignment horizontal="center" vertical="center" wrapText="1"/>
    </xf>
    <xf numFmtId="0" fontId="4" fillId="0" borderId="1" xfId="8" applyFont="1" applyBorder="1" applyAlignment="1">
      <alignment horizontal="center" vertical="center" wrapText="1"/>
    </xf>
    <xf numFmtId="0" fontId="4" fillId="0" borderId="1" xfId="9" applyFont="1" applyBorder="1" applyAlignment="1">
      <alignment horizontal="center" vertical="center" wrapText="1"/>
    </xf>
    <xf numFmtId="0" fontId="4" fillId="0" borderId="36" xfId="8" applyFont="1" applyBorder="1" applyAlignment="1">
      <alignment horizontal="center" vertical="center" wrapText="1"/>
    </xf>
    <xf numFmtId="0" fontId="4" fillId="0" borderId="27" xfId="8" applyFont="1" applyBorder="1" applyAlignment="1">
      <alignment horizontal="center" vertical="center" wrapText="1"/>
    </xf>
    <xf numFmtId="0" fontId="5" fillId="0" borderId="0" xfId="2" applyAlignment="1">
      <alignment wrapText="1"/>
    </xf>
    <xf numFmtId="0" fontId="4" fillId="0" borderId="0" xfId="2" applyFont="1" applyAlignment="1">
      <alignment wrapText="1"/>
    </xf>
    <xf numFmtId="0" fontId="5" fillId="0" borderId="0" xfId="2" applyAlignment="1">
      <alignment vertical="center" wrapText="1"/>
    </xf>
    <xf numFmtId="0" fontId="4" fillId="0" borderId="0" xfId="2" applyFont="1" applyAlignment="1">
      <alignment vertical="center" wrapText="1"/>
    </xf>
    <xf numFmtId="0" fontId="13" fillId="21" borderId="18" xfId="7" applyFont="1" applyFill="1" applyBorder="1" applyAlignment="1">
      <alignment horizontal="center" vertical="center" wrapText="1"/>
    </xf>
    <xf numFmtId="0" fontId="13" fillId="21" borderId="16" xfId="7" applyFont="1" applyFill="1" applyBorder="1" applyAlignment="1">
      <alignment horizontal="center" vertical="center" wrapText="1"/>
    </xf>
    <xf numFmtId="0" fontId="28" fillId="0" borderId="0" xfId="2" applyFont="1" applyAlignment="1">
      <alignment horizontal="left" vertical="center"/>
    </xf>
    <xf numFmtId="0" fontId="5" fillId="0" borderId="0" xfId="2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left" vertical="center" wrapText="1"/>
    </xf>
    <xf numFmtId="0" fontId="4" fillId="0" borderId="27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25" fillId="17" borderId="16" xfId="0" applyFont="1" applyFill="1" applyBorder="1" applyAlignment="1">
      <alignment horizontal="center" vertical="center" wrapText="1"/>
    </xf>
    <xf numFmtId="0" fontId="4" fillId="0" borderId="21" xfId="7" applyFont="1" applyBorder="1" applyAlignment="1">
      <alignment horizontal="left" wrapText="1"/>
    </xf>
    <xf numFmtId="0" fontId="13" fillId="0" borderId="22" xfId="7" applyFont="1" applyBorder="1" applyAlignment="1">
      <alignment wrapText="1"/>
    </xf>
    <xf numFmtId="0" fontId="4" fillId="0" borderId="4" xfId="7" applyFont="1" applyBorder="1" applyAlignment="1">
      <alignment wrapText="1"/>
    </xf>
    <xf numFmtId="0" fontId="4" fillId="0" borderId="4" xfId="7" applyFont="1" applyBorder="1" applyAlignment="1">
      <alignment horizontal="center" wrapText="1"/>
    </xf>
    <xf numFmtId="0" fontId="4" fillId="0" borderId="4" xfId="9" applyFont="1" applyBorder="1" applyAlignment="1">
      <alignment horizontal="center" wrapText="1"/>
    </xf>
    <xf numFmtId="0" fontId="4" fillId="0" borderId="24" xfId="7" applyFont="1" applyBorder="1" applyAlignment="1">
      <alignment horizontal="left" wrapText="1"/>
    </xf>
    <xf numFmtId="0" fontId="13" fillId="0" borderId="1" xfId="7" applyFont="1" applyBorder="1" applyAlignment="1">
      <alignment wrapText="1"/>
    </xf>
    <xf numFmtId="0" fontId="13" fillId="0" borderId="1" xfId="7" applyFont="1" applyBorder="1" applyAlignment="1">
      <alignment horizontal="left" vertical="center" wrapText="1"/>
    </xf>
    <xf numFmtId="0" fontId="13" fillId="0" borderId="1" xfId="7" applyFont="1" applyBorder="1" applyAlignment="1">
      <alignment horizontal="left" wrapText="1"/>
    </xf>
    <xf numFmtId="0" fontId="4" fillId="0" borderId="1" xfId="7" applyFont="1" applyBorder="1" applyAlignment="1">
      <alignment horizontal="left" wrapText="1"/>
    </xf>
    <xf numFmtId="0" fontId="4" fillId="0" borderId="24" xfId="7" applyFont="1" applyBorder="1" applyAlignment="1">
      <alignment horizontal="left" vertical="center" wrapText="1"/>
    </xf>
    <xf numFmtId="0" fontId="13" fillId="21" borderId="1" xfId="7" applyFont="1" applyFill="1" applyBorder="1" applyAlignment="1">
      <alignment horizontal="center" wrapText="1"/>
    </xf>
    <xf numFmtId="0" fontId="25" fillId="17" borderId="1" xfId="0" applyFont="1" applyFill="1" applyBorder="1" applyAlignment="1">
      <alignment horizontal="center" vertical="center" wrapText="1"/>
    </xf>
    <xf numFmtId="0" fontId="4" fillId="9" borderId="1" xfId="7" applyFont="1" applyFill="1" applyBorder="1" applyAlignment="1">
      <alignment horizontal="left" wrapText="1"/>
    </xf>
    <xf numFmtId="0" fontId="13" fillId="9" borderId="1" xfId="7" applyFont="1" applyFill="1" applyBorder="1" applyAlignment="1">
      <alignment horizontal="left" wrapText="1"/>
    </xf>
    <xf numFmtId="0" fontId="4" fillId="9" borderId="1" xfId="7" applyFont="1" applyFill="1" applyBorder="1" applyAlignment="1">
      <alignment horizontal="center" wrapText="1"/>
    </xf>
    <xf numFmtId="0" fontId="4" fillId="9" borderId="1" xfId="9" applyFont="1" applyFill="1" applyBorder="1" applyAlignment="1">
      <alignment horizontal="center" wrapText="1"/>
    </xf>
    <xf numFmtId="0" fontId="22" fillId="0" borderId="0" xfId="0" applyFont="1" applyAlignment="1">
      <alignment wrapText="1"/>
    </xf>
    <xf numFmtId="0" fontId="25" fillId="0" borderId="38" xfId="0" applyFont="1" applyBorder="1" applyAlignment="1">
      <alignment wrapText="1"/>
    </xf>
    <xf numFmtId="0" fontId="25" fillId="0" borderId="18" xfId="0" applyFont="1" applyBorder="1" applyAlignment="1">
      <alignment wrapText="1"/>
    </xf>
    <xf numFmtId="0" fontId="22" fillId="0" borderId="1" xfId="0" applyFont="1" applyBorder="1" applyAlignment="1">
      <alignment horizontal="center" wrapText="1"/>
    </xf>
    <xf numFmtId="0" fontId="22" fillId="0" borderId="21" xfId="0" applyFont="1" applyBorder="1" applyAlignment="1">
      <alignment horizontal="center" wrapText="1"/>
    </xf>
    <xf numFmtId="0" fontId="22" fillId="0" borderId="22" xfId="0" applyFont="1" applyBorder="1" applyAlignment="1">
      <alignment horizontal="center" wrapText="1"/>
    </xf>
    <xf numFmtId="0" fontId="22" fillId="0" borderId="23" xfId="0" applyFont="1" applyBorder="1" applyAlignment="1">
      <alignment horizontal="center" wrapText="1"/>
    </xf>
    <xf numFmtId="0" fontId="22" fillId="0" borderId="21" xfId="0" applyFont="1" applyBorder="1" applyAlignment="1">
      <alignment wrapText="1"/>
    </xf>
    <xf numFmtId="0" fontId="22" fillId="0" borderId="22" xfId="0" applyFont="1" applyBorder="1" applyAlignment="1">
      <alignment wrapText="1"/>
    </xf>
    <xf numFmtId="0" fontId="22" fillId="0" borderId="34" xfId="0" applyFont="1" applyBorder="1" applyAlignment="1">
      <alignment wrapText="1"/>
    </xf>
    <xf numFmtId="0" fontId="22" fillId="0" borderId="1" xfId="0" applyFont="1" applyBorder="1" applyAlignment="1">
      <alignment wrapText="1"/>
    </xf>
    <xf numFmtId="0" fontId="22" fillId="0" borderId="24" xfId="0" applyFont="1" applyBorder="1" applyAlignment="1">
      <alignment horizontal="center" wrapText="1"/>
    </xf>
    <xf numFmtId="0" fontId="22" fillId="0" borderId="25" xfId="0" applyFont="1" applyBorder="1" applyAlignment="1">
      <alignment horizontal="center" wrapText="1"/>
    </xf>
    <xf numFmtId="0" fontId="22" fillId="0" borderId="24" xfId="0" applyFont="1" applyBorder="1" applyAlignment="1">
      <alignment wrapText="1"/>
    </xf>
    <xf numFmtId="0" fontId="22" fillId="0" borderId="5" xfId="0" applyFont="1" applyBorder="1" applyAlignment="1">
      <alignment wrapText="1"/>
    </xf>
    <xf numFmtId="0" fontId="22" fillId="0" borderId="6" xfId="0" applyFont="1" applyBorder="1" applyAlignment="1">
      <alignment wrapText="1"/>
    </xf>
    <xf numFmtId="0" fontId="22" fillId="0" borderId="3" xfId="0" applyFont="1" applyBorder="1" applyAlignment="1">
      <alignment wrapText="1"/>
    </xf>
    <xf numFmtId="0" fontId="25" fillId="0" borderId="16" xfId="0" applyFont="1" applyBorder="1" applyAlignment="1">
      <alignment wrapText="1"/>
    </xf>
    <xf numFmtId="10" fontId="25" fillId="0" borderId="18" xfId="0" applyNumberFormat="1" applyFont="1" applyBorder="1" applyAlignment="1">
      <alignment wrapText="1"/>
    </xf>
    <xf numFmtId="0" fontId="22" fillId="0" borderId="24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22" fillId="9" borderId="1" xfId="0" applyFont="1" applyFill="1" applyBorder="1" applyAlignment="1">
      <alignment horizontal="center" wrapText="1"/>
    </xf>
    <xf numFmtId="0" fontId="22" fillId="9" borderId="1" xfId="0" applyFont="1" applyFill="1" applyBorder="1" applyAlignment="1">
      <alignment wrapText="1"/>
    </xf>
    <xf numFmtId="0" fontId="22" fillId="18" borderId="1" xfId="0" applyFont="1" applyFill="1" applyBorder="1" applyAlignment="1">
      <alignment wrapText="1"/>
    </xf>
    <xf numFmtId="0" fontId="25" fillId="0" borderId="17" xfId="0" applyFont="1" applyBorder="1" applyAlignment="1">
      <alignment wrapText="1"/>
    </xf>
    <xf numFmtId="0" fontId="13" fillId="21" borderId="13" xfId="7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5" fillId="0" borderId="38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10" fontId="22" fillId="0" borderId="0" xfId="0" applyNumberFormat="1" applyFont="1"/>
    <xf numFmtId="0" fontId="33" fillId="0" borderId="0" xfId="0" applyFont="1"/>
    <xf numFmtId="0" fontId="7" fillId="0" borderId="0" xfId="0" applyFont="1" applyAlignment="1">
      <alignment horizontal="center" vertical="center" wrapText="1"/>
    </xf>
    <xf numFmtId="0" fontId="47" fillId="0" borderId="0" xfId="0" applyFont="1" applyAlignment="1">
      <alignment vertical="center"/>
    </xf>
    <xf numFmtId="0" fontId="16" fillId="0" borderId="0" xfId="0" applyFont="1" applyAlignment="1">
      <alignment horizontal="right"/>
    </xf>
    <xf numFmtId="0" fontId="23" fillId="0" borderId="0" xfId="0" applyFont="1"/>
    <xf numFmtId="0" fontId="13" fillId="0" borderId="0" xfId="0" applyFont="1"/>
    <xf numFmtId="0" fontId="7" fillId="2" borderId="29" xfId="2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9" fillId="0" borderId="47" xfId="2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8" fillId="3" borderId="41" xfId="2" applyFont="1" applyFill="1" applyBorder="1" applyAlignment="1">
      <alignment horizontal="center" vertical="center" wrapText="1"/>
    </xf>
    <xf numFmtId="0" fontId="8" fillId="3" borderId="48" xfId="2" applyFont="1" applyFill="1" applyBorder="1" applyAlignment="1">
      <alignment horizontal="center" vertical="center" wrapText="1"/>
    </xf>
    <xf numFmtId="0" fontId="48" fillId="0" borderId="0" xfId="0" applyFont="1" applyAlignment="1">
      <alignment vertical="center"/>
    </xf>
    <xf numFmtId="10" fontId="9" fillId="0" borderId="8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0" fontId="9" fillId="0" borderId="12" xfId="1" applyNumberFormat="1" applyFont="1" applyBorder="1" applyAlignment="1">
      <alignment horizontal="center" vertical="center"/>
    </xf>
    <xf numFmtId="10" fontId="9" fillId="0" borderId="10" xfId="1" applyNumberFormat="1" applyFont="1" applyBorder="1" applyAlignment="1">
      <alignment horizontal="center" vertical="center"/>
    </xf>
    <xf numFmtId="10" fontId="9" fillId="0" borderId="10" xfId="2" applyNumberFormat="1" applyFont="1" applyBorder="1" applyAlignment="1">
      <alignment horizontal="center" vertical="center"/>
    </xf>
    <xf numFmtId="10" fontId="9" fillId="0" borderId="8" xfId="2" applyNumberFormat="1" applyFont="1" applyBorder="1" applyAlignment="1">
      <alignment horizontal="center" vertical="center"/>
    </xf>
    <xf numFmtId="2" fontId="9" fillId="0" borderId="12" xfId="2" applyNumberFormat="1" applyFont="1" applyBorder="1" applyAlignment="1">
      <alignment horizontal="center" vertical="center"/>
    </xf>
    <xf numFmtId="2" fontId="9" fillId="0" borderId="10" xfId="2" applyNumberFormat="1" applyFont="1" applyBorder="1" applyAlignment="1">
      <alignment horizontal="center" vertical="center"/>
    </xf>
    <xf numFmtId="2" fontId="9" fillId="0" borderId="8" xfId="2" applyNumberFormat="1" applyFont="1" applyBorder="1" applyAlignment="1">
      <alignment horizontal="center" vertical="center"/>
    </xf>
    <xf numFmtId="0" fontId="9" fillId="0" borderId="54" xfId="2" applyFont="1" applyBorder="1" applyAlignment="1">
      <alignment horizontal="center" vertical="center"/>
    </xf>
    <xf numFmtId="0" fontId="9" fillId="0" borderId="53" xfId="2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3" fillId="0" borderId="46" xfId="0" applyFont="1" applyBorder="1" applyAlignment="1">
      <alignment horizontal="center" vertical="center" wrapText="1"/>
    </xf>
    <xf numFmtId="0" fontId="7" fillId="19" borderId="8" xfId="0" applyFont="1" applyFill="1" applyBorder="1" applyAlignment="1">
      <alignment horizontal="center" vertical="center"/>
    </xf>
    <xf numFmtId="0" fontId="7" fillId="19" borderId="57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 wrapText="1"/>
    </xf>
    <xf numFmtId="0" fontId="13" fillId="7" borderId="56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/>
    </xf>
    <xf numFmtId="0" fontId="13" fillId="0" borderId="59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10" fontId="7" fillId="2" borderId="29" xfId="1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9" fillId="0" borderId="44" xfId="2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6" fillId="0" borderId="0" xfId="0" applyFont="1"/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0" fontId="8" fillId="0" borderId="45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10" fontId="8" fillId="0" borderId="45" xfId="0" applyNumberFormat="1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0" fillId="0" borderId="45" xfId="0" applyBorder="1"/>
    <xf numFmtId="10" fontId="9" fillId="0" borderId="44" xfId="1" applyNumberFormat="1" applyFont="1" applyBorder="1" applyAlignment="1">
      <alignment horizontal="center" vertical="center"/>
    </xf>
    <xf numFmtId="2" fontId="9" fillId="0" borderId="44" xfId="2" applyNumberFormat="1" applyFont="1" applyBorder="1" applyAlignment="1">
      <alignment horizontal="center" vertical="center"/>
    </xf>
    <xf numFmtId="0" fontId="7" fillId="13" borderId="8" xfId="0" applyFont="1" applyFill="1" applyBorder="1" applyAlignment="1">
      <alignment vertical="center"/>
    </xf>
    <xf numFmtId="0" fontId="7" fillId="13" borderId="0" xfId="0" applyFont="1" applyFill="1" applyAlignment="1">
      <alignment horizontal="center" vertical="center" wrapText="1"/>
    </xf>
    <xf numFmtId="0" fontId="7" fillId="13" borderId="0" xfId="0" applyFont="1" applyFill="1" applyAlignment="1">
      <alignment horizontal="center" vertical="center"/>
    </xf>
    <xf numFmtId="0" fontId="8" fillId="9" borderId="0" xfId="2" applyFont="1" applyFill="1" applyAlignment="1">
      <alignment horizontal="left" vertical="center" wrapText="1"/>
    </xf>
    <xf numFmtId="0" fontId="8" fillId="9" borderId="0" xfId="2" applyFont="1" applyFill="1" applyAlignment="1">
      <alignment horizontal="center" vertical="center" wrapText="1"/>
    </xf>
    <xf numFmtId="0" fontId="8" fillId="3" borderId="47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3" fontId="7" fillId="13" borderId="0" xfId="0" applyNumberFormat="1" applyFont="1" applyFill="1" applyAlignment="1">
      <alignment horizontal="center" vertical="center" wrapText="1"/>
    </xf>
    <xf numFmtId="0" fontId="34" fillId="0" borderId="0" xfId="0" applyFont="1"/>
    <xf numFmtId="0" fontId="29" fillId="0" borderId="0" xfId="0" applyFont="1" applyAlignment="1">
      <alignment vertical="center"/>
    </xf>
    <xf numFmtId="0" fontId="22" fillId="0" borderId="47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10" fontId="0" fillId="0" borderId="0" xfId="1" applyNumberFormat="1" applyFont="1" applyFill="1"/>
    <xf numFmtId="0" fontId="33" fillId="19" borderId="8" xfId="0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vertical="center"/>
    </xf>
    <xf numFmtId="2" fontId="19" fillId="0" borderId="0" xfId="4" applyNumberFormat="1" applyFont="1" applyFill="1" applyBorder="1" applyAlignment="1">
      <alignment horizontal="center" vertical="center"/>
    </xf>
    <xf numFmtId="2" fontId="19" fillId="0" borderId="0" xfId="4" applyNumberFormat="1" applyFont="1" applyFill="1" applyBorder="1" applyAlignment="1">
      <alignment vertical="center"/>
    </xf>
    <xf numFmtId="0" fontId="25" fillId="0" borderId="0" xfId="0" applyFont="1" applyAlignment="1">
      <alignment horizontal="center" vertical="center" wrapText="1"/>
    </xf>
    <xf numFmtId="10" fontId="19" fillId="0" borderId="44" xfId="1" applyNumberFormat="1" applyFont="1" applyFill="1" applyBorder="1" applyAlignment="1">
      <alignment horizontal="center" vertical="center"/>
    </xf>
    <xf numFmtId="10" fontId="19" fillId="0" borderId="8" xfId="1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5" fillId="8" borderId="52" xfId="0" applyFont="1" applyFill="1" applyBorder="1" applyAlignment="1">
      <alignment horizontal="left"/>
    </xf>
    <xf numFmtId="0" fontId="19" fillId="0" borderId="44" xfId="4" applyNumberFormat="1" applyFont="1" applyFill="1" applyBorder="1" applyAlignment="1">
      <alignment horizontal="center" vertical="center"/>
    </xf>
    <xf numFmtId="0" fontId="19" fillId="0" borderId="44" xfId="4" applyNumberFormat="1" applyFont="1" applyFill="1" applyBorder="1" applyAlignment="1">
      <alignment horizontal="center" vertical="center" wrapText="1"/>
    </xf>
    <xf numFmtId="0" fontId="19" fillId="0" borderId="11" xfId="4" applyNumberFormat="1" applyFont="1" applyFill="1" applyBorder="1" applyAlignment="1">
      <alignment horizontal="center" vertical="center"/>
    </xf>
    <xf numFmtId="0" fontId="19" fillId="0" borderId="11" xfId="4" applyNumberFormat="1" applyFont="1" applyFill="1" applyBorder="1" applyAlignment="1">
      <alignment horizontal="center" vertical="center" wrapText="1"/>
    </xf>
    <xf numFmtId="0" fontId="19" fillId="0" borderId="47" xfId="4" applyNumberFormat="1" applyFont="1" applyFill="1" applyBorder="1" applyAlignment="1">
      <alignment horizontal="center" vertical="center"/>
    </xf>
    <xf numFmtId="0" fontId="19" fillId="0" borderId="47" xfId="4" applyNumberFormat="1" applyFont="1" applyFill="1" applyBorder="1" applyAlignment="1">
      <alignment horizontal="center" vertical="center" wrapText="1"/>
    </xf>
    <xf numFmtId="10" fontId="19" fillId="0" borderId="44" xfId="1" applyNumberFormat="1" applyFont="1" applyFill="1" applyBorder="1" applyAlignment="1">
      <alignment horizontal="center" vertical="center" wrapText="1"/>
    </xf>
    <xf numFmtId="0" fontId="0" fillId="0" borderId="47" xfId="0" applyBorder="1"/>
    <xf numFmtId="0" fontId="0" fillId="0" borderId="8" xfId="0" applyBorder="1"/>
    <xf numFmtId="0" fontId="0" fillId="0" borderId="29" xfId="0" applyBorder="1" applyAlignment="1">
      <alignment horizontal="center"/>
    </xf>
    <xf numFmtId="0" fontId="0" fillId="0" borderId="29" xfId="0" applyBorder="1"/>
    <xf numFmtId="0" fontId="19" fillId="0" borderId="44" xfId="1" applyNumberFormat="1" applyFont="1" applyFill="1" applyBorder="1" applyAlignment="1">
      <alignment horizontal="center" vertical="center" wrapText="1"/>
    </xf>
    <xf numFmtId="0" fontId="16" fillId="9" borderId="0" xfId="0" applyFont="1" applyFill="1"/>
    <xf numFmtId="10" fontId="16" fillId="9" borderId="0" xfId="1" applyNumberFormat="1" applyFont="1" applyFill="1"/>
    <xf numFmtId="0" fontId="16" fillId="9" borderId="8" xfId="0" applyFont="1" applyFill="1" applyBorder="1"/>
    <xf numFmtId="0" fontId="19" fillId="15" borderId="11" xfId="4" applyNumberFormat="1" applyFont="1" applyFill="1" applyBorder="1" applyAlignment="1">
      <alignment horizontal="center" vertical="center" wrapText="1"/>
    </xf>
    <xf numFmtId="0" fontId="0" fillId="15" borderId="11" xfId="0" applyFill="1" applyBorder="1"/>
    <xf numFmtId="0" fontId="0" fillId="0" borderId="11" xfId="0" applyBorder="1" applyAlignment="1">
      <alignment horizontal="center"/>
    </xf>
    <xf numFmtId="0" fontId="4" fillId="15" borderId="0" xfId="0" applyFont="1" applyFill="1" applyAlignment="1">
      <alignment horizontal="center" vertical="center" wrapText="1"/>
    </xf>
    <xf numFmtId="0" fontId="19" fillId="0" borderId="8" xfId="4" applyNumberFormat="1" applyFont="1" applyFill="1" applyBorder="1" applyAlignment="1">
      <alignment horizontal="center" vertical="center"/>
    </xf>
    <xf numFmtId="0" fontId="19" fillId="0" borderId="62" xfId="4" applyNumberFormat="1" applyFont="1" applyFill="1" applyBorder="1" applyAlignment="1">
      <alignment horizontal="center" vertical="center"/>
    </xf>
    <xf numFmtId="0" fontId="19" fillId="0" borderId="62" xfId="4" applyNumberFormat="1" applyFont="1" applyFill="1" applyBorder="1" applyAlignment="1">
      <alignment horizontal="center" vertical="center" wrapText="1"/>
    </xf>
    <xf numFmtId="0" fontId="8" fillId="3" borderId="0" xfId="2" applyFont="1" applyFill="1" applyAlignment="1">
      <alignment horizontal="center" vertical="center" wrapText="1"/>
    </xf>
    <xf numFmtId="0" fontId="33" fillId="11" borderId="0" xfId="2" applyFont="1" applyFill="1" applyAlignment="1">
      <alignment horizontal="left" vertical="center" wrapText="1"/>
    </xf>
    <xf numFmtId="0" fontId="8" fillId="3" borderId="55" xfId="2" applyFont="1" applyFill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33" fillId="19" borderId="46" xfId="2" applyFont="1" applyFill="1" applyBorder="1" applyAlignment="1">
      <alignment horizontal="center" vertical="center" wrapText="1"/>
    </xf>
    <xf numFmtId="0" fontId="33" fillId="19" borderId="46" xfId="0" applyFont="1" applyFill="1" applyBorder="1" applyAlignment="1">
      <alignment horizontal="center" vertical="center"/>
    </xf>
    <xf numFmtId="2" fontId="7" fillId="15" borderId="14" xfId="2" applyNumberFormat="1" applyFont="1" applyFill="1" applyBorder="1" applyAlignment="1">
      <alignment horizontal="center" vertical="center" wrapText="1"/>
    </xf>
    <xf numFmtId="2" fontId="7" fillId="2" borderId="29" xfId="1" applyNumberFormat="1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0" fontId="33" fillId="19" borderId="8" xfId="2" applyFont="1" applyFill="1" applyBorder="1" applyAlignment="1">
      <alignment horizontal="center" vertical="center"/>
    </xf>
    <xf numFmtId="10" fontId="9" fillId="0" borderId="45" xfId="1" applyNumberFormat="1" applyFont="1" applyBorder="1" applyAlignment="1">
      <alignment horizontal="center" vertical="center"/>
    </xf>
    <xf numFmtId="0" fontId="19" fillId="0" borderId="65" xfId="4" applyNumberFormat="1" applyFont="1" applyFill="1" applyBorder="1" applyAlignment="1">
      <alignment horizontal="center" vertical="center" wrapText="1"/>
    </xf>
    <xf numFmtId="0" fontId="19" fillId="0" borderId="8" xfId="4" applyNumberFormat="1" applyFont="1" applyFill="1" applyBorder="1" applyAlignment="1">
      <alignment horizontal="center" vertical="center" wrapText="1"/>
    </xf>
    <xf numFmtId="0" fontId="19" fillId="0" borderId="45" xfId="4" applyNumberFormat="1" applyFont="1" applyFill="1" applyBorder="1" applyAlignment="1">
      <alignment horizontal="center" vertical="center"/>
    </xf>
    <xf numFmtId="0" fontId="19" fillId="0" borderId="45" xfId="4" applyNumberFormat="1" applyFont="1" applyFill="1" applyBorder="1" applyAlignment="1">
      <alignment horizontal="center" vertical="center" wrapText="1"/>
    </xf>
    <xf numFmtId="0" fontId="16" fillId="0" borderId="0" xfId="0" applyFont="1"/>
    <xf numFmtId="0" fontId="36" fillId="0" borderId="0" xfId="0" applyFont="1" applyAlignment="1">
      <alignment horizontal="left" vertical="center"/>
    </xf>
    <xf numFmtId="0" fontId="50" fillId="0" borderId="0" xfId="2" applyFont="1"/>
    <xf numFmtId="0" fontId="8" fillId="0" borderId="0" xfId="2" applyFont="1" applyAlignment="1">
      <alignment horizontal="center" vertical="center" wrapText="1"/>
    </xf>
    <xf numFmtId="0" fontId="9" fillId="0" borderId="0" xfId="2" applyFont="1" applyAlignment="1">
      <alignment horizontal="left" vertical="center" wrapText="1"/>
    </xf>
    <xf numFmtId="0" fontId="13" fillId="0" borderId="0" xfId="7" applyFont="1" applyAlignment="1">
      <alignment horizontal="center" vertical="center" wrapText="1"/>
    </xf>
    <xf numFmtId="0" fontId="13" fillId="0" borderId="0" xfId="7" applyFont="1" applyAlignment="1">
      <alignment horizontal="center" vertical="center"/>
    </xf>
    <xf numFmtId="0" fontId="25" fillId="0" borderId="0" xfId="2" applyFont="1"/>
    <xf numFmtId="0" fontId="25" fillId="0" borderId="0" xfId="2" applyFont="1" applyAlignment="1">
      <alignment wrapText="1"/>
    </xf>
    <xf numFmtId="0" fontId="25" fillId="0" borderId="0" xfId="2" applyFont="1" applyAlignment="1">
      <alignment horizontal="center" vertical="center" wrapText="1"/>
    </xf>
    <xf numFmtId="0" fontId="2" fillId="0" borderId="0" xfId="2" applyFont="1"/>
    <xf numFmtId="1" fontId="4" fillId="0" borderId="0" xfId="8" applyNumberFormat="1" applyFont="1" applyAlignment="1">
      <alignment horizontal="left" vertical="center"/>
    </xf>
    <xf numFmtId="0" fontId="13" fillId="0" borderId="0" xfId="8" applyFont="1" applyAlignment="1">
      <alignment vertical="center" wrapText="1"/>
    </xf>
    <xf numFmtId="0" fontId="4" fillId="0" borderId="0" xfId="8" applyFont="1" applyAlignment="1">
      <alignment horizontal="center" wrapText="1"/>
    </xf>
    <xf numFmtId="0" fontId="4" fillId="0" borderId="0" xfId="7" applyFont="1" applyAlignment="1">
      <alignment wrapText="1"/>
    </xf>
    <xf numFmtId="0" fontId="4" fillId="0" borderId="0" xfId="2" applyFont="1" applyAlignment="1">
      <alignment horizontal="center"/>
    </xf>
    <xf numFmtId="0" fontId="4" fillId="0" borderId="0" xfId="8" applyFont="1" applyAlignment="1">
      <alignment wrapText="1"/>
    </xf>
    <xf numFmtId="0" fontId="4" fillId="0" borderId="0" xfId="7" applyFont="1" applyAlignment="1">
      <alignment horizontal="center" wrapText="1"/>
    </xf>
    <xf numFmtId="0" fontId="4" fillId="0" borderId="0" xfId="9" applyFont="1" applyAlignment="1">
      <alignment horizontal="center" wrapText="1"/>
    </xf>
    <xf numFmtId="0" fontId="44" fillId="0" borderId="0" xfId="7" applyFont="1" applyAlignment="1">
      <alignment horizontal="left" wrapText="1"/>
    </xf>
    <xf numFmtId="0" fontId="46" fillId="0" borderId="0" xfId="2" applyFont="1"/>
    <xf numFmtId="0" fontId="4" fillId="0" borderId="0" xfId="8" applyFont="1" applyAlignment="1">
      <alignment horizontal="left" vertical="center"/>
    </xf>
    <xf numFmtId="0" fontId="13" fillId="0" borderId="0" xfId="8" applyFont="1" applyAlignment="1">
      <alignment horizontal="left" vertical="center" wrapText="1"/>
    </xf>
    <xf numFmtId="0" fontId="4" fillId="0" borderId="0" xfId="2" applyFont="1" applyAlignment="1">
      <alignment horizontal="center" wrapText="1"/>
    </xf>
    <xf numFmtId="10" fontId="25" fillId="0" borderId="0" xfId="2" applyNumberFormat="1" applyFont="1" applyAlignment="1">
      <alignment wrapText="1"/>
    </xf>
    <xf numFmtId="0" fontId="45" fillId="0" borderId="0" xfId="7" applyFont="1" applyAlignment="1">
      <alignment horizontal="left" vertical="center"/>
    </xf>
    <xf numFmtId="0" fontId="5" fillId="0" borderId="0" xfId="2" applyAlignment="1">
      <alignment horizontal="center" vertical="center" wrapText="1"/>
    </xf>
    <xf numFmtId="0" fontId="25" fillId="0" borderId="0" xfId="2" applyFont="1" applyAlignment="1">
      <alignment vertical="center" wrapText="1"/>
    </xf>
    <xf numFmtId="0" fontId="4" fillId="0" borderId="0" xfId="8" applyFont="1" applyAlignment="1">
      <alignment horizontal="center" vertical="center" wrapText="1"/>
    </xf>
    <xf numFmtId="0" fontId="4" fillId="0" borderId="0" xfId="8" applyFont="1" applyAlignment="1">
      <alignment horizontal="left" wrapText="1"/>
    </xf>
    <xf numFmtId="0" fontId="4" fillId="0" borderId="0" xfId="9" applyFont="1" applyAlignment="1">
      <alignment horizontal="center" vertical="center" wrapText="1"/>
    </xf>
    <xf numFmtId="0" fontId="13" fillId="0" borderId="0" xfId="8" applyFont="1" applyAlignment="1">
      <alignment wrapText="1"/>
    </xf>
    <xf numFmtId="0" fontId="4" fillId="0" borderId="0" xfId="2" applyFont="1" applyAlignment="1">
      <alignment horizontal="center" vertical="center"/>
    </xf>
    <xf numFmtId="0" fontId="13" fillId="22" borderId="18" xfId="7" applyFont="1" applyFill="1" applyBorder="1" applyAlignment="1">
      <alignment horizontal="center" vertical="center" wrapText="1"/>
    </xf>
    <xf numFmtId="0" fontId="13" fillId="22" borderId="18" xfId="7" applyFont="1" applyFill="1" applyBorder="1" applyAlignment="1">
      <alignment horizontal="center" vertical="center"/>
    </xf>
    <xf numFmtId="0" fontId="13" fillId="22" borderId="19" xfId="7" applyFont="1" applyFill="1" applyBorder="1" applyAlignment="1">
      <alignment horizontal="center" vertical="center"/>
    </xf>
    <xf numFmtId="0" fontId="25" fillId="15" borderId="33" xfId="2" applyFont="1" applyFill="1" applyBorder="1" applyAlignment="1">
      <alignment horizontal="center" vertical="center"/>
    </xf>
    <xf numFmtId="0" fontId="25" fillId="15" borderId="19" xfId="2" applyFont="1" applyFill="1" applyBorder="1" applyAlignment="1">
      <alignment horizontal="center" vertical="center"/>
    </xf>
    <xf numFmtId="0" fontId="25" fillId="15" borderId="33" xfId="2" applyFont="1" applyFill="1" applyBorder="1" applyAlignment="1">
      <alignment horizontal="center" vertical="center" wrapText="1"/>
    </xf>
    <xf numFmtId="0" fontId="25" fillId="15" borderId="16" xfId="2" applyFont="1" applyFill="1" applyBorder="1" applyAlignment="1">
      <alignment horizontal="center" vertical="center" wrapText="1"/>
    </xf>
    <xf numFmtId="1" fontId="4" fillId="15" borderId="21" xfId="8" applyNumberFormat="1" applyFont="1" applyFill="1" applyBorder="1" applyAlignment="1">
      <alignment horizontal="center" vertical="center"/>
    </xf>
    <xf numFmtId="0" fontId="4" fillId="0" borderId="23" xfId="7" applyFont="1" applyBorder="1" applyAlignment="1">
      <alignment horizontal="center" vertical="center" wrapText="1"/>
    </xf>
    <xf numFmtId="1" fontId="4" fillId="15" borderId="24" xfId="8" applyNumberFormat="1" applyFont="1" applyFill="1" applyBorder="1" applyAlignment="1">
      <alignment horizontal="center" vertical="center"/>
    </xf>
    <xf numFmtId="0" fontId="4" fillId="0" borderId="25" xfId="7" applyFont="1" applyBorder="1" applyAlignment="1">
      <alignment horizontal="center" vertical="center" wrapText="1"/>
    </xf>
    <xf numFmtId="1" fontId="4" fillId="15" borderId="39" xfId="8" applyNumberFormat="1" applyFont="1" applyFill="1" applyBorder="1" applyAlignment="1">
      <alignment horizontal="center" vertical="center"/>
    </xf>
    <xf numFmtId="0" fontId="13" fillId="0" borderId="3" xfId="8" applyFont="1" applyBorder="1" applyAlignment="1">
      <alignment vertical="center" wrapText="1"/>
    </xf>
    <xf numFmtId="0" fontId="4" fillId="0" borderId="40" xfId="7" applyFont="1" applyBorder="1" applyAlignment="1">
      <alignment horizontal="center" vertical="center" wrapText="1"/>
    </xf>
    <xf numFmtId="1" fontId="4" fillId="15" borderId="26" xfId="8" applyNumberFormat="1" applyFont="1" applyFill="1" applyBorder="1" applyAlignment="1">
      <alignment horizontal="center" vertical="center"/>
    </xf>
    <xf numFmtId="0" fontId="4" fillId="0" borderId="28" xfId="7" applyFont="1" applyBorder="1" applyAlignment="1">
      <alignment horizontal="center" vertical="center" wrapText="1"/>
    </xf>
    <xf numFmtId="0" fontId="4" fillId="15" borderId="24" xfId="8" applyFont="1" applyFill="1" applyBorder="1" applyAlignment="1">
      <alignment horizontal="center" vertical="center"/>
    </xf>
    <xf numFmtId="0" fontId="4" fillId="0" borderId="23" xfId="8" applyFont="1" applyBorder="1" applyAlignment="1">
      <alignment horizontal="center" vertical="center" wrapText="1"/>
    </xf>
    <xf numFmtId="0" fontId="4" fillId="0" borderId="25" xfId="8" applyFont="1" applyBorder="1" applyAlignment="1">
      <alignment horizontal="center" vertical="center" wrapText="1"/>
    </xf>
    <xf numFmtId="0" fontId="4" fillId="15" borderId="26" xfId="8" applyFont="1" applyFill="1" applyBorder="1" applyAlignment="1">
      <alignment horizontal="center" vertical="center"/>
    </xf>
    <xf numFmtId="0" fontId="4" fillId="0" borderId="28" xfId="8" applyFont="1" applyBorder="1" applyAlignment="1">
      <alignment horizontal="center" vertical="center" wrapText="1"/>
    </xf>
    <xf numFmtId="0" fontId="4" fillId="15" borderId="21" xfId="8" applyFont="1" applyFill="1" applyBorder="1" applyAlignment="1">
      <alignment horizontal="center" vertical="center"/>
    </xf>
    <xf numFmtId="0" fontId="4" fillId="15" borderId="66" xfId="8" applyFont="1" applyFill="1" applyBorder="1" applyAlignment="1">
      <alignment horizontal="center" vertical="center"/>
    </xf>
    <xf numFmtId="0" fontId="13" fillId="0" borderId="4" xfId="8" applyFont="1" applyBorder="1" applyAlignment="1">
      <alignment vertical="center" wrapText="1"/>
    </xf>
    <xf numFmtId="0" fontId="4" fillId="0" borderId="68" xfId="8" applyFont="1" applyBorder="1" applyAlignment="1">
      <alignment horizontal="center" vertical="center" wrapText="1"/>
    </xf>
    <xf numFmtId="0" fontId="4" fillId="0" borderId="67" xfId="8" applyFont="1" applyBorder="1" applyAlignment="1">
      <alignment horizontal="center" vertical="center" wrapText="1"/>
    </xf>
    <xf numFmtId="0" fontId="25" fillId="23" borderId="33" xfId="2" applyFont="1" applyFill="1" applyBorder="1" applyAlignment="1">
      <alignment horizontal="center" vertical="center"/>
    </xf>
    <xf numFmtId="0" fontId="25" fillId="23" borderId="16" xfId="2" applyFont="1" applyFill="1" applyBorder="1" applyAlignment="1">
      <alignment horizontal="center" vertical="center"/>
    </xf>
    <xf numFmtId="0" fontId="25" fillId="23" borderId="33" xfId="2" applyFont="1" applyFill="1" applyBorder="1" applyAlignment="1">
      <alignment horizontal="center" vertical="center" wrapText="1"/>
    </xf>
    <xf numFmtId="0" fontId="4" fillId="0" borderId="21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34" xfId="2" applyFont="1" applyBorder="1" applyAlignment="1">
      <alignment horizontal="center" vertical="center"/>
    </xf>
    <xf numFmtId="0" fontId="4" fillId="0" borderId="35" xfId="2" applyFont="1" applyBorder="1" applyAlignment="1">
      <alignment horizontal="center" vertical="center"/>
    </xf>
    <xf numFmtId="0" fontId="4" fillId="0" borderId="21" xfId="9" applyFont="1" applyBorder="1" applyAlignment="1">
      <alignment horizontal="center" vertical="center" wrapText="1"/>
    </xf>
    <xf numFmtId="0" fontId="4" fillId="0" borderId="22" xfId="9" applyFont="1" applyBorder="1" applyAlignment="1">
      <alignment horizontal="center" vertical="center" wrapText="1"/>
    </xf>
    <xf numFmtId="0" fontId="4" fillId="0" borderId="23" xfId="9" applyFont="1" applyBorder="1" applyAlignment="1">
      <alignment horizontal="center" vertical="center" wrapText="1"/>
    </xf>
    <xf numFmtId="0" fontId="4" fillId="0" borderId="24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24" xfId="9" applyFont="1" applyBorder="1" applyAlignment="1">
      <alignment horizontal="center" vertical="center" wrapText="1"/>
    </xf>
    <xf numFmtId="0" fontId="19" fillId="0" borderId="1" xfId="9" applyFont="1" applyBorder="1" applyAlignment="1">
      <alignment horizontal="center" vertical="center" wrapText="1"/>
    </xf>
    <xf numFmtId="0" fontId="4" fillId="0" borderId="25" xfId="9" applyFont="1" applyBorder="1" applyAlignment="1">
      <alignment horizontal="center" vertical="center" wrapText="1"/>
    </xf>
    <xf numFmtId="165" fontId="4" fillId="0" borderId="1" xfId="9" applyNumberFormat="1" applyFont="1" applyBorder="1" applyAlignment="1">
      <alignment horizontal="center" vertical="center" wrapText="1"/>
    </xf>
    <xf numFmtId="0" fontId="4" fillId="0" borderId="39" xfId="9" applyFont="1" applyBorder="1" applyAlignment="1">
      <alignment horizontal="center" vertical="center" wrapText="1"/>
    </xf>
    <xf numFmtId="0" fontId="4" fillId="0" borderId="3" xfId="9" applyFont="1" applyBorder="1" applyAlignment="1">
      <alignment horizontal="center" vertical="center" wrapText="1"/>
    </xf>
    <xf numFmtId="0" fontId="4" fillId="0" borderId="26" xfId="2" applyFont="1" applyBorder="1" applyAlignment="1">
      <alignment horizontal="center" vertical="center"/>
    </xf>
    <xf numFmtId="0" fontId="4" fillId="0" borderId="27" xfId="2" applyFont="1" applyBorder="1" applyAlignment="1">
      <alignment horizontal="center" vertical="center"/>
    </xf>
    <xf numFmtId="0" fontId="4" fillId="0" borderId="36" xfId="2" applyFont="1" applyBorder="1" applyAlignment="1">
      <alignment horizontal="center" vertical="center"/>
    </xf>
    <xf numFmtId="0" fontId="4" fillId="0" borderId="37" xfId="2" applyFont="1" applyBorder="1" applyAlignment="1">
      <alignment horizontal="center" vertical="center"/>
    </xf>
    <xf numFmtId="0" fontId="4" fillId="0" borderId="26" xfId="9" applyFont="1" applyBorder="1" applyAlignment="1">
      <alignment horizontal="center" vertical="center" wrapText="1"/>
    </xf>
    <xf numFmtId="0" fontId="4" fillId="0" borderId="27" xfId="9" applyFont="1" applyBorder="1" applyAlignment="1">
      <alignment horizontal="center" vertical="center" wrapText="1"/>
    </xf>
    <xf numFmtId="0" fontId="4" fillId="0" borderId="40" xfId="9" applyFont="1" applyBorder="1" applyAlignment="1">
      <alignment horizontal="center" vertical="center" wrapText="1"/>
    </xf>
    <xf numFmtId="0" fontId="4" fillId="0" borderId="21" xfId="2" applyFont="1" applyBorder="1" applyAlignment="1">
      <alignment horizontal="center" vertical="center" wrapText="1"/>
    </xf>
    <xf numFmtId="0" fontId="4" fillId="0" borderId="22" xfId="2" applyFont="1" applyBorder="1" applyAlignment="1">
      <alignment horizontal="center" vertical="center" wrapText="1"/>
    </xf>
    <xf numFmtId="0" fontId="4" fillId="0" borderId="24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26" xfId="2" applyFont="1" applyBorder="1" applyAlignment="1">
      <alignment horizontal="center" vertical="center" wrapText="1"/>
    </xf>
    <xf numFmtId="0" fontId="4" fillId="0" borderId="28" xfId="9" applyFont="1" applyBorder="1" applyAlignment="1">
      <alignment horizontal="center" vertical="center" wrapText="1"/>
    </xf>
    <xf numFmtId="0" fontId="4" fillId="0" borderId="66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67" xfId="9" applyFont="1" applyBorder="1" applyAlignment="1">
      <alignment horizontal="center" vertical="center" wrapText="1"/>
    </xf>
    <xf numFmtId="0" fontId="4" fillId="0" borderId="66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68" xfId="2" applyFont="1" applyBorder="1" applyAlignment="1">
      <alignment horizontal="center" vertical="center"/>
    </xf>
    <xf numFmtId="0" fontId="4" fillId="0" borderId="30" xfId="2" applyFont="1" applyBorder="1" applyAlignment="1">
      <alignment horizontal="center" vertical="center"/>
    </xf>
    <xf numFmtId="0" fontId="19" fillId="0" borderId="24" xfId="2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0" fontId="4" fillId="0" borderId="34" xfId="7" applyFont="1" applyBorder="1" applyAlignment="1">
      <alignment vertical="center" wrapText="1"/>
    </xf>
    <xf numFmtId="0" fontId="4" fillId="0" borderId="5" xfId="7" applyFont="1" applyBorder="1" applyAlignment="1">
      <alignment vertical="center" wrapText="1"/>
    </xf>
    <xf numFmtId="0" fontId="51" fillId="0" borderId="0" xfId="0" applyFont="1" applyAlignment="1">
      <alignment vertical="center"/>
    </xf>
    <xf numFmtId="0" fontId="4" fillId="0" borderId="3" xfId="8" applyFont="1" applyBorder="1" applyAlignment="1">
      <alignment horizontal="center" vertical="center" wrapText="1"/>
    </xf>
    <xf numFmtId="0" fontId="4" fillId="0" borderId="32" xfId="7" applyFont="1" applyBorder="1" applyAlignment="1">
      <alignment vertical="center" wrapText="1"/>
    </xf>
    <xf numFmtId="0" fontId="4" fillId="0" borderId="36" xfId="7" applyFont="1" applyBorder="1" applyAlignment="1">
      <alignment vertical="center" wrapText="1"/>
    </xf>
    <xf numFmtId="0" fontId="4" fillId="0" borderId="4" xfId="8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9" fillId="0" borderId="24" xfId="2" applyFont="1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 wrapText="1"/>
    </xf>
    <xf numFmtId="0" fontId="19" fillId="0" borderId="25" xfId="9" applyFont="1" applyBorder="1" applyAlignment="1">
      <alignment horizontal="center" vertical="center" wrapText="1"/>
    </xf>
    <xf numFmtId="0" fontId="9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left" indent="1"/>
    </xf>
    <xf numFmtId="10" fontId="9" fillId="0" borderId="12" xfId="1" applyNumberFormat="1" applyFont="1" applyFill="1" applyBorder="1" applyAlignment="1">
      <alignment horizontal="center" vertical="center"/>
    </xf>
    <xf numFmtId="10" fontId="9" fillId="0" borderId="10" xfId="1" applyNumberFormat="1" applyFont="1" applyFill="1" applyBorder="1" applyAlignment="1">
      <alignment horizontal="center" vertical="center"/>
    </xf>
    <xf numFmtId="10" fontId="9" fillId="0" borderId="8" xfId="1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16" fillId="0" borderId="0" xfId="0" applyFont="1" applyAlignment="1">
      <alignment horizontal="left"/>
    </xf>
    <xf numFmtId="0" fontId="17" fillId="0" borderId="0" xfId="5"/>
    <xf numFmtId="0" fontId="16" fillId="0" borderId="72" xfId="0" applyFont="1" applyBorder="1" applyAlignment="1">
      <alignment horizontal="left"/>
    </xf>
    <xf numFmtId="0" fontId="16" fillId="0" borderId="72" xfId="0" applyFont="1" applyBorder="1"/>
    <xf numFmtId="10" fontId="9" fillId="0" borderId="0" xfId="1" applyNumberFormat="1" applyFont="1" applyFill="1" applyBorder="1" applyAlignment="1">
      <alignment horizontal="center" vertical="center"/>
    </xf>
    <xf numFmtId="0" fontId="26" fillId="0" borderId="0" xfId="4" applyNumberFormat="1" applyFont="1" applyFill="1" applyBorder="1" applyAlignment="1">
      <alignment horizontal="center" vertical="center" wrapText="1"/>
    </xf>
    <xf numFmtId="0" fontId="19" fillId="0" borderId="8" xfId="2" applyFont="1" applyBorder="1" applyAlignment="1">
      <alignment horizontal="left" vertical="center"/>
    </xf>
    <xf numFmtId="2" fontId="19" fillId="0" borderId="8" xfId="2" applyNumberFormat="1" applyFont="1" applyBorder="1" applyAlignment="1">
      <alignment horizontal="center" vertical="center"/>
    </xf>
    <xf numFmtId="0" fontId="8" fillId="24" borderId="73" xfId="0" applyFont="1" applyFill="1" applyBorder="1" applyAlignment="1">
      <alignment horizontal="center" vertical="center" wrapText="1"/>
    </xf>
    <xf numFmtId="0" fontId="9" fillId="0" borderId="74" xfId="0" applyFont="1" applyBorder="1" applyAlignment="1">
      <alignment horizontal="center" vertical="center" wrapText="1"/>
    </xf>
    <xf numFmtId="0" fontId="9" fillId="0" borderId="75" xfId="0" applyFont="1" applyBorder="1" applyAlignment="1">
      <alignment horizontal="center" vertical="center" wrapText="1"/>
    </xf>
    <xf numFmtId="0" fontId="8" fillId="25" borderId="76" xfId="0" applyFont="1" applyFill="1" applyBorder="1" applyAlignment="1">
      <alignment horizontal="center" vertical="center" wrapText="1"/>
    </xf>
    <xf numFmtId="2" fontId="9" fillId="0" borderId="0" xfId="2" applyNumberFormat="1" applyFont="1" applyAlignment="1">
      <alignment horizontal="center" vertical="center"/>
    </xf>
    <xf numFmtId="0" fontId="8" fillId="25" borderId="77" xfId="0" applyFont="1" applyFill="1" applyBorder="1" applyAlignment="1">
      <alignment horizontal="center" vertical="center" wrapText="1"/>
    </xf>
    <xf numFmtId="0" fontId="9" fillId="0" borderId="78" xfId="0" applyFont="1" applyBorder="1" applyAlignment="1">
      <alignment horizontal="center" vertical="center" wrapText="1"/>
    </xf>
    <xf numFmtId="0" fontId="54" fillId="0" borderId="0" xfId="0" applyFont="1"/>
    <xf numFmtId="0" fontId="55" fillId="19" borderId="5" xfId="0" applyFont="1" applyFill="1" applyBorder="1" applyAlignment="1">
      <alignment horizontal="center" vertical="center" wrapText="1"/>
    </xf>
    <xf numFmtId="10" fontId="8" fillId="0" borderId="81" xfId="0" applyNumberFormat="1" applyFont="1" applyBorder="1" applyAlignment="1">
      <alignment horizontal="center" vertical="center" wrapText="1"/>
    </xf>
    <xf numFmtId="0" fontId="33" fillId="11" borderId="0" xfId="0" applyFont="1" applyFill="1" applyAlignment="1">
      <alignment horizontal="left" vertical="center" wrapText="1"/>
    </xf>
    <xf numFmtId="0" fontId="9" fillId="4" borderId="45" xfId="0" applyFont="1" applyFill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center" vertical="center" wrapText="1"/>
    </xf>
    <xf numFmtId="0" fontId="8" fillId="12" borderId="45" xfId="0" applyFont="1" applyFill="1" applyBorder="1" applyAlignment="1">
      <alignment horizontal="left" vertical="center"/>
    </xf>
    <xf numFmtId="0" fontId="9" fillId="4" borderId="44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5" xfId="2" applyFont="1" applyBorder="1" applyAlignment="1">
      <alignment horizontal="center" vertical="center"/>
    </xf>
    <xf numFmtId="2" fontId="9" fillId="0" borderId="45" xfId="2" applyNumberFormat="1" applyFont="1" applyBorder="1" applyAlignment="1">
      <alignment horizontal="center" vertical="center"/>
    </xf>
    <xf numFmtId="10" fontId="8" fillId="0" borderId="0" xfId="0" applyNumberFormat="1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7" fillId="0" borderId="0" xfId="0" applyFont="1"/>
    <xf numFmtId="0" fontId="58" fillId="0" borderId="0" xfId="0" applyFont="1"/>
    <xf numFmtId="0" fontId="15" fillId="0" borderId="0" xfId="0" applyFont="1" applyAlignment="1">
      <alignment wrapText="1"/>
    </xf>
    <xf numFmtId="0" fontId="7" fillId="19" borderId="14" xfId="0" applyFont="1" applyFill="1" applyBorder="1" applyAlignment="1">
      <alignment vertical="center" wrapText="1"/>
    </xf>
    <xf numFmtId="0" fontId="60" fillId="0" borderId="0" xfId="0" applyFont="1"/>
    <xf numFmtId="0" fontId="26" fillId="0" borderId="1" xfId="7" applyFont="1" applyBorder="1" applyAlignment="1">
      <alignment horizontal="left" wrapText="1"/>
    </xf>
    <xf numFmtId="0" fontId="19" fillId="0" borderId="1" xfId="9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9" fillId="0" borderId="1" xfId="7" applyFont="1" applyBorder="1" applyAlignment="1">
      <alignment horizontal="center" wrapText="1"/>
    </xf>
    <xf numFmtId="0" fontId="19" fillId="0" borderId="1" xfId="7" applyFont="1" applyBorder="1" applyAlignment="1">
      <alignment horizontal="left" wrapText="1"/>
    </xf>
    <xf numFmtId="0" fontId="19" fillId="0" borderId="24" xfId="7" applyFont="1" applyBorder="1" applyAlignment="1">
      <alignment horizontal="left" wrapText="1"/>
    </xf>
    <xf numFmtId="0" fontId="19" fillId="0" borderId="24" xfId="0" applyFont="1" applyBorder="1" applyAlignment="1">
      <alignment horizontal="center" wrapText="1"/>
    </xf>
    <xf numFmtId="0" fontId="19" fillId="0" borderId="25" xfId="0" applyFont="1" applyBorder="1" applyAlignment="1">
      <alignment horizontal="center" wrapText="1"/>
    </xf>
    <xf numFmtId="0" fontId="19" fillId="0" borderId="0" xfId="0" applyFont="1" applyAlignment="1">
      <alignment wrapText="1"/>
    </xf>
    <xf numFmtId="0" fontId="19" fillId="0" borderId="1" xfId="0" applyFont="1" applyBorder="1" applyAlignment="1">
      <alignment wrapText="1"/>
    </xf>
    <xf numFmtId="0" fontId="7" fillId="0" borderId="0" xfId="0" applyFont="1" applyAlignment="1">
      <alignment vertical="center" wrapText="1"/>
    </xf>
    <xf numFmtId="0" fontId="61" fillId="0" borderId="0" xfId="0" applyFont="1"/>
    <xf numFmtId="0" fontId="23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62" fillId="0" borderId="0" xfId="0" applyFont="1" applyAlignment="1">
      <alignment vertical="center"/>
    </xf>
    <xf numFmtId="0" fontId="29" fillId="0" borderId="0" xfId="0" applyFont="1"/>
    <xf numFmtId="0" fontId="8" fillId="0" borderId="29" xfId="0" applyFont="1" applyBorder="1" applyAlignment="1">
      <alignment horizontal="center"/>
    </xf>
    <xf numFmtId="0" fontId="63" fillId="0" borderId="0" xfId="0" applyFont="1" applyAlignment="1">
      <alignment horizontal="center" vertical="center" wrapText="1"/>
    </xf>
    <xf numFmtId="0" fontId="4" fillId="6" borderId="24" xfId="8" applyFont="1" applyFill="1" applyBorder="1" applyAlignment="1">
      <alignment horizontal="center" vertical="center"/>
    </xf>
    <xf numFmtId="0" fontId="13" fillId="6" borderId="1" xfId="8" applyFont="1" applyFill="1" applyBorder="1" applyAlignment="1">
      <alignment vertical="center" wrapText="1"/>
    </xf>
    <xf numFmtId="0" fontId="4" fillId="6" borderId="1" xfId="8" applyFont="1" applyFill="1" applyBorder="1" applyAlignment="1">
      <alignment horizontal="center" vertical="center" wrapText="1"/>
    </xf>
    <xf numFmtId="0" fontId="4" fillId="6" borderId="5" xfId="8" applyFont="1" applyFill="1" applyBorder="1" applyAlignment="1">
      <alignment horizontal="center" vertical="center" wrapText="1"/>
    </xf>
    <xf numFmtId="0" fontId="4" fillId="6" borderId="25" xfId="8" applyFont="1" applyFill="1" applyBorder="1" applyAlignment="1">
      <alignment horizontal="center" vertical="center" wrapText="1"/>
    </xf>
    <xf numFmtId="0" fontId="4" fillId="6" borderId="24" xfId="2" applyFont="1" applyFill="1" applyBorder="1" applyAlignment="1">
      <alignment horizontal="center" vertical="center"/>
    </xf>
    <xf numFmtId="0" fontId="4" fillId="6" borderId="1" xfId="2" applyFont="1" applyFill="1" applyBorder="1" applyAlignment="1">
      <alignment horizontal="center" vertical="center"/>
    </xf>
    <xf numFmtId="0" fontId="4" fillId="6" borderId="5" xfId="2" applyFont="1" applyFill="1" applyBorder="1" applyAlignment="1">
      <alignment horizontal="center" vertical="center"/>
    </xf>
    <xf numFmtId="0" fontId="4" fillId="6" borderId="6" xfId="2" applyFont="1" applyFill="1" applyBorder="1" applyAlignment="1">
      <alignment horizontal="center" vertical="center"/>
    </xf>
    <xf numFmtId="0" fontId="4" fillId="6" borderId="24" xfId="2" applyFont="1" applyFill="1" applyBorder="1" applyAlignment="1">
      <alignment horizontal="center" vertical="center" wrapText="1"/>
    </xf>
    <xf numFmtId="0" fontId="4" fillId="6" borderId="1" xfId="2" applyFont="1" applyFill="1" applyBorder="1" applyAlignment="1">
      <alignment horizontal="center" vertical="center" wrapText="1"/>
    </xf>
    <xf numFmtId="0" fontId="4" fillId="6" borderId="25" xfId="9" applyFont="1" applyFill="1" applyBorder="1" applyAlignment="1">
      <alignment horizontal="center" vertical="center" wrapText="1"/>
    </xf>
    <xf numFmtId="0" fontId="4" fillId="6" borderId="24" xfId="7" applyFont="1" applyFill="1" applyBorder="1" applyAlignment="1">
      <alignment horizontal="left" wrapText="1"/>
    </xf>
    <xf numFmtId="0" fontId="13" fillId="6" borderId="1" xfId="7" applyFont="1" applyFill="1" applyBorder="1" applyAlignment="1">
      <alignment horizontal="left" wrapText="1"/>
    </xf>
    <xf numFmtId="0" fontId="4" fillId="6" borderId="1" xfId="9" applyFont="1" applyFill="1" applyBorder="1" applyAlignment="1">
      <alignment horizontal="center" wrapText="1"/>
    </xf>
    <xf numFmtId="0" fontId="22" fillId="6" borderId="1" xfId="0" applyFont="1" applyFill="1" applyBorder="1" applyAlignment="1">
      <alignment horizontal="center" wrapText="1"/>
    </xf>
    <xf numFmtId="0" fontId="22" fillId="6" borderId="24" xfId="0" applyFont="1" applyFill="1" applyBorder="1" applyAlignment="1">
      <alignment horizontal="center" wrapText="1"/>
    </xf>
    <xf numFmtId="0" fontId="22" fillId="6" borderId="25" xfId="0" applyFont="1" applyFill="1" applyBorder="1" applyAlignment="1">
      <alignment horizontal="center" wrapText="1"/>
    </xf>
    <xf numFmtId="9" fontId="0" fillId="0" borderId="0" xfId="1" applyFont="1"/>
    <xf numFmtId="16" fontId="0" fillId="0" borderId="0" xfId="0" applyNumberFormat="1"/>
    <xf numFmtId="0" fontId="7" fillId="2" borderId="7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5" fillId="19" borderId="7" xfId="0" applyFont="1" applyFill="1" applyBorder="1" applyAlignment="1">
      <alignment horizontal="center" vertical="center" wrapText="1"/>
    </xf>
    <xf numFmtId="0" fontId="7" fillId="16" borderId="7" xfId="0" applyFont="1" applyFill="1" applyBorder="1" applyAlignment="1">
      <alignment horizontal="center" vertical="center" wrapText="1"/>
    </xf>
    <xf numFmtId="0" fontId="9" fillId="27" borderId="12" xfId="2" applyFont="1" applyFill="1" applyBorder="1" applyAlignment="1">
      <alignment horizontal="center" vertical="center"/>
    </xf>
    <xf numFmtId="0" fontId="4" fillId="27" borderId="55" xfId="0" applyFont="1" applyFill="1" applyBorder="1" applyAlignment="1">
      <alignment horizontal="center" vertical="center"/>
    </xf>
    <xf numFmtId="0" fontId="4" fillId="27" borderId="0" xfId="0" applyFont="1" applyFill="1" applyAlignment="1">
      <alignment horizontal="center" vertical="center"/>
    </xf>
    <xf numFmtId="0" fontId="4" fillId="27" borderId="64" xfId="0" applyFont="1" applyFill="1" applyBorder="1" applyAlignment="1">
      <alignment horizontal="center" vertical="center"/>
    </xf>
    <xf numFmtId="0" fontId="4" fillId="27" borderId="47" xfId="0" applyFont="1" applyFill="1" applyBorder="1" applyAlignment="1">
      <alignment horizontal="center" vertical="center"/>
    </xf>
    <xf numFmtId="0" fontId="9" fillId="27" borderId="10" xfId="2" applyFont="1" applyFill="1" applyBorder="1" applyAlignment="1">
      <alignment horizontal="center" vertical="center"/>
    </xf>
    <xf numFmtId="10" fontId="9" fillId="27" borderId="8" xfId="1" applyNumberFormat="1" applyFont="1" applyFill="1" applyBorder="1" applyAlignment="1">
      <alignment horizontal="center" vertical="center"/>
    </xf>
    <xf numFmtId="165" fontId="9" fillId="0" borderId="45" xfId="0" applyNumberFormat="1" applyFont="1" applyBorder="1" applyAlignment="1">
      <alignment horizontal="center" vertical="center" wrapText="1"/>
    </xf>
    <xf numFmtId="165" fontId="8" fillId="0" borderId="71" xfId="0" applyNumberFormat="1" applyFont="1" applyBorder="1" applyAlignment="1">
      <alignment horizontal="center" vertical="center" wrapText="1"/>
    </xf>
    <xf numFmtId="165" fontId="8" fillId="0" borderId="45" xfId="0" applyNumberFormat="1" applyFont="1" applyBorder="1" applyAlignment="1">
      <alignment horizontal="center" vertical="center" wrapText="1"/>
    </xf>
    <xf numFmtId="165" fontId="9" fillId="0" borderId="47" xfId="0" applyNumberFormat="1" applyFont="1" applyBorder="1" applyAlignment="1">
      <alignment horizontal="center" vertical="center" wrapText="1"/>
    </xf>
    <xf numFmtId="165" fontId="9" fillId="9" borderId="52" xfId="0" applyNumberFormat="1" applyFont="1" applyFill="1" applyBorder="1" applyAlignment="1">
      <alignment horizontal="center" vertical="center" wrapText="1"/>
    </xf>
    <xf numFmtId="165" fontId="8" fillId="9" borderId="52" xfId="0" applyNumberFormat="1" applyFont="1" applyFill="1" applyBorder="1" applyAlignment="1">
      <alignment horizontal="center" vertical="center" wrapText="1"/>
    </xf>
    <xf numFmtId="165" fontId="9" fillId="9" borderId="85" xfId="0" applyNumberFormat="1" applyFont="1" applyFill="1" applyBorder="1" applyAlignment="1">
      <alignment horizontal="center" vertical="center" wrapText="1"/>
    </xf>
    <xf numFmtId="0" fontId="9" fillId="9" borderId="52" xfId="0" applyFont="1" applyFill="1" applyBorder="1" applyAlignment="1">
      <alignment horizontal="center" vertical="center" wrapText="1"/>
    </xf>
    <xf numFmtId="165" fontId="0" fillId="0" borderId="0" xfId="0" applyNumberFormat="1"/>
    <xf numFmtId="0" fontId="19" fillId="28" borderId="79" xfId="4" applyFont="1" applyFill="1" applyBorder="1" applyAlignment="1">
      <alignment horizontal="center" vertical="center"/>
    </xf>
    <xf numFmtId="0" fontId="19" fillId="28" borderId="44" xfId="4" applyFont="1" applyFill="1" applyBorder="1" applyAlignment="1">
      <alignment horizontal="center" vertical="center"/>
    </xf>
    <xf numFmtId="165" fontId="19" fillId="28" borderId="79" xfId="4" applyNumberFormat="1" applyFont="1" applyFill="1" applyBorder="1" applyAlignment="1">
      <alignment horizontal="center" vertical="center"/>
    </xf>
    <xf numFmtId="165" fontId="19" fillId="28" borderId="44" xfId="4" applyNumberFormat="1" applyFont="1" applyFill="1" applyBorder="1" applyAlignment="1">
      <alignment horizontal="center" vertical="center"/>
    </xf>
    <xf numFmtId="0" fontId="19" fillId="28" borderId="87" xfId="4" applyFont="1" applyFill="1" applyBorder="1" applyAlignment="1">
      <alignment horizontal="center" vertical="center"/>
    </xf>
    <xf numFmtId="0" fontId="19" fillId="28" borderId="62" xfId="4" applyFont="1" applyFill="1" applyBorder="1" applyAlignment="1">
      <alignment horizontal="center" vertical="center"/>
    </xf>
    <xf numFmtId="2" fontId="20" fillId="0" borderId="0" xfId="4" applyNumberFormat="1" applyFont="1" applyFill="1" applyBorder="1" applyAlignment="1">
      <alignment horizontal="center" vertical="center"/>
    </xf>
    <xf numFmtId="1" fontId="19" fillId="27" borderId="47" xfId="4" applyNumberFormat="1" applyFont="1" applyFill="1" applyBorder="1" applyAlignment="1">
      <alignment horizontal="center" vertical="center"/>
    </xf>
    <xf numFmtId="165" fontId="19" fillId="27" borderId="48" xfId="4" applyNumberFormat="1" applyFont="1" applyFill="1" applyBorder="1" applyAlignment="1">
      <alignment horizontal="center" vertical="center"/>
    </xf>
    <xf numFmtId="165" fontId="19" fillId="27" borderId="47" xfId="4" applyNumberFormat="1" applyFont="1" applyFill="1" applyBorder="1" applyAlignment="1">
      <alignment horizontal="center" vertical="center"/>
    </xf>
    <xf numFmtId="1" fontId="19" fillId="27" borderId="45" xfId="4" applyNumberFormat="1" applyFont="1" applyFill="1" applyBorder="1" applyAlignment="1">
      <alignment horizontal="center" vertical="center"/>
    </xf>
    <xf numFmtId="165" fontId="19" fillId="27" borderId="69" xfId="4" applyNumberFormat="1" applyFont="1" applyFill="1" applyBorder="1" applyAlignment="1">
      <alignment horizontal="center" vertical="center"/>
    </xf>
    <xf numFmtId="165" fontId="19" fillId="27" borderId="45" xfId="4" applyNumberFormat="1" applyFont="1" applyFill="1" applyBorder="1" applyAlignment="1">
      <alignment horizontal="center" vertical="center"/>
    </xf>
    <xf numFmtId="1" fontId="19" fillId="27" borderId="52" xfId="4" applyNumberFormat="1" applyFont="1" applyFill="1" applyBorder="1" applyAlignment="1">
      <alignment horizontal="center" vertical="center"/>
    </xf>
    <xf numFmtId="165" fontId="19" fillId="27" borderId="52" xfId="4" applyNumberFormat="1" applyFont="1" applyFill="1" applyBorder="1" applyAlignment="1">
      <alignment horizontal="center" vertical="center"/>
    </xf>
    <xf numFmtId="165" fontId="19" fillId="27" borderId="88" xfId="4" applyNumberFormat="1" applyFont="1" applyFill="1" applyBorder="1" applyAlignment="1">
      <alignment horizontal="center" vertical="center"/>
    </xf>
    <xf numFmtId="0" fontId="19" fillId="15" borderId="8" xfId="4" applyNumberFormat="1" applyFont="1" applyFill="1" applyBorder="1" applyAlignment="1">
      <alignment horizontal="center" vertical="center" wrapText="1"/>
    </xf>
    <xf numFmtId="0" fontId="19" fillId="15" borderId="97" xfId="4" applyNumberFormat="1" applyFont="1" applyFill="1" applyBorder="1" applyAlignment="1">
      <alignment horizontal="center" vertical="center" wrapText="1"/>
    </xf>
    <xf numFmtId="0" fontId="25" fillId="8" borderId="47" xfId="0" applyFont="1" applyFill="1" applyBorder="1" applyAlignment="1">
      <alignment horizontal="left"/>
    </xf>
    <xf numFmtId="0" fontId="25" fillId="8" borderId="9" xfId="0" applyFont="1" applyFill="1" applyBorder="1" applyAlignment="1">
      <alignment horizontal="left"/>
    </xf>
    <xf numFmtId="10" fontId="9" fillId="0" borderId="53" xfId="1" applyNumberFormat="1" applyFont="1" applyFill="1" applyBorder="1" applyAlignment="1">
      <alignment horizontal="center" vertical="center"/>
    </xf>
    <xf numFmtId="2" fontId="9" fillId="27" borderId="12" xfId="2" applyNumberFormat="1" applyFont="1" applyFill="1" applyBorder="1" applyAlignment="1">
      <alignment horizontal="center" vertical="center"/>
    </xf>
    <xf numFmtId="2" fontId="9" fillId="27" borderId="10" xfId="2" applyNumberFormat="1" applyFont="1" applyFill="1" applyBorder="1" applyAlignment="1">
      <alignment horizontal="center" vertical="center"/>
    </xf>
    <xf numFmtId="2" fontId="19" fillId="27" borderId="8" xfId="2" applyNumberFormat="1" applyFont="1" applyFill="1" applyBorder="1" applyAlignment="1">
      <alignment horizontal="center" vertical="center"/>
    </xf>
    <xf numFmtId="2" fontId="7" fillId="27" borderId="14" xfId="2" applyNumberFormat="1" applyFont="1" applyFill="1" applyBorder="1" applyAlignment="1">
      <alignment horizontal="center" vertical="center" wrapText="1"/>
    </xf>
    <xf numFmtId="2" fontId="9" fillId="27" borderId="8" xfId="2" applyNumberFormat="1" applyFont="1" applyFill="1" applyBorder="1" applyAlignment="1">
      <alignment horizontal="center" vertical="center"/>
    </xf>
    <xf numFmtId="0" fontId="9" fillId="27" borderId="54" xfId="2" applyFont="1" applyFill="1" applyBorder="1" applyAlignment="1">
      <alignment horizontal="center" vertical="center"/>
    </xf>
    <xf numFmtId="0" fontId="9" fillId="27" borderId="53" xfId="2" applyFont="1" applyFill="1" applyBorder="1" applyAlignment="1">
      <alignment horizontal="center" vertical="center"/>
    </xf>
    <xf numFmtId="0" fontId="9" fillId="27" borderId="8" xfId="2" applyFont="1" applyFill="1" applyBorder="1" applyAlignment="1">
      <alignment horizontal="center" vertical="center"/>
    </xf>
    <xf numFmtId="0" fontId="0" fillId="27" borderId="0" xfId="0" applyFill="1"/>
    <xf numFmtId="164" fontId="10" fillId="27" borderId="0" xfId="2" applyNumberFormat="1" applyFont="1" applyFill="1"/>
    <xf numFmtId="0" fontId="9" fillId="27" borderId="44" xfId="0" applyFont="1" applyFill="1" applyBorder="1" applyAlignment="1">
      <alignment horizontal="center" vertical="center" wrapText="1"/>
    </xf>
    <xf numFmtId="0" fontId="9" fillId="27" borderId="45" xfId="0" applyFont="1" applyFill="1" applyBorder="1" applyAlignment="1">
      <alignment horizontal="center" vertical="center" wrapText="1"/>
    </xf>
    <xf numFmtId="0" fontId="9" fillId="27" borderId="8" xfId="0" applyFont="1" applyFill="1" applyBorder="1" applyAlignment="1">
      <alignment horizontal="center" vertical="center" wrapText="1"/>
    </xf>
    <xf numFmtId="0" fontId="22" fillId="27" borderId="44" xfId="0" quotePrefix="1" applyFont="1" applyFill="1" applyBorder="1" applyAlignment="1">
      <alignment horizontal="center" vertical="center" wrapText="1"/>
    </xf>
    <xf numFmtId="10" fontId="9" fillId="0" borderId="47" xfId="1" applyNumberFormat="1" applyFont="1" applyFill="1" applyBorder="1" applyAlignment="1">
      <alignment horizontal="center" vertical="center"/>
    </xf>
    <xf numFmtId="10" fontId="9" fillId="0" borderId="52" xfId="1" applyNumberFormat="1" applyFont="1" applyFill="1" applyBorder="1" applyAlignment="1">
      <alignment horizontal="center" vertical="center"/>
    </xf>
    <xf numFmtId="0" fontId="9" fillId="0" borderId="52" xfId="2" applyFont="1" applyBorder="1" applyAlignment="1">
      <alignment horizontal="center" vertical="center"/>
    </xf>
    <xf numFmtId="10" fontId="19" fillId="0" borderId="47" xfId="4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/>
    </xf>
    <xf numFmtId="2" fontId="9" fillId="0" borderId="47" xfId="2" applyNumberFormat="1" applyFont="1" applyBorder="1" applyAlignment="1">
      <alignment horizontal="center" vertical="center"/>
    </xf>
    <xf numFmtId="10" fontId="9" fillId="0" borderId="44" xfId="1" applyNumberFormat="1" applyFont="1" applyFill="1" applyBorder="1" applyAlignment="1">
      <alignment horizontal="center" vertical="center"/>
    </xf>
    <xf numFmtId="10" fontId="9" fillId="0" borderId="45" xfId="1" applyNumberFormat="1" applyFont="1" applyFill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0" fontId="22" fillId="0" borderId="91" xfId="0" applyFont="1" applyBorder="1" applyAlignment="1">
      <alignment horizontal="center" vertical="center"/>
    </xf>
    <xf numFmtId="10" fontId="22" fillId="0" borderId="91" xfId="0" applyNumberFormat="1" applyFont="1" applyBorder="1" applyAlignment="1">
      <alignment horizontal="center" vertical="center"/>
    </xf>
    <xf numFmtId="0" fontId="22" fillId="0" borderId="83" xfId="0" applyFont="1" applyBorder="1" applyAlignment="1">
      <alignment horizontal="center" vertical="center"/>
    </xf>
    <xf numFmtId="10" fontId="22" fillId="0" borderId="83" xfId="0" applyNumberFormat="1" applyFont="1" applyBorder="1" applyAlignment="1">
      <alignment horizontal="center" vertical="center"/>
    </xf>
    <xf numFmtId="2" fontId="0" fillId="0" borderId="0" xfId="1" applyNumberFormat="1" applyFont="1"/>
    <xf numFmtId="10" fontId="25" fillId="27" borderId="91" xfId="0" applyNumberFormat="1" applyFont="1" applyFill="1" applyBorder="1" applyAlignment="1">
      <alignment horizontal="center" vertical="center" wrapText="1"/>
    </xf>
    <xf numFmtId="0" fontId="25" fillId="27" borderId="83" xfId="0" applyFont="1" applyFill="1" applyBorder="1" applyAlignment="1">
      <alignment horizontal="center" vertical="center" wrapText="1"/>
    </xf>
    <xf numFmtId="10" fontId="9" fillId="0" borderId="0" xfId="0" applyNumberFormat="1" applyFont="1" applyAlignment="1">
      <alignment horizontal="center" vertical="center" wrapText="1"/>
    </xf>
    <xf numFmtId="0" fontId="9" fillId="0" borderId="8" xfId="0" applyFont="1" applyBorder="1" applyAlignment="1">
      <alignment horizontal="center" vertical="top" wrapText="1"/>
    </xf>
    <xf numFmtId="2" fontId="7" fillId="19" borderId="8" xfId="0" applyNumberFormat="1" applyFont="1" applyFill="1" applyBorder="1" applyAlignment="1">
      <alignment horizontal="center" vertical="center" wrapText="1"/>
    </xf>
    <xf numFmtId="164" fontId="7" fillId="19" borderId="0" xfId="0" applyNumberFormat="1" applyFont="1" applyFill="1" applyAlignment="1">
      <alignment horizontal="center" vertical="center"/>
    </xf>
    <xf numFmtId="0" fontId="8" fillId="9" borderId="0" xfId="2" applyFont="1" applyFill="1" applyAlignment="1">
      <alignment vertical="center" wrapText="1"/>
    </xf>
    <xf numFmtId="0" fontId="9" fillId="0" borderId="47" xfId="0" applyFont="1" applyBorder="1" applyAlignment="1">
      <alignment horizontal="center" vertical="center" wrapText="1"/>
    </xf>
    <xf numFmtId="0" fontId="26" fillId="9" borderId="0" xfId="0" applyFont="1" applyFill="1" applyAlignment="1">
      <alignment horizontal="center" vertical="center" wrapText="1"/>
    </xf>
    <xf numFmtId="0" fontId="9" fillId="27" borderId="47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22" fillId="27" borderId="8" xfId="0" applyFont="1" applyFill="1" applyBorder="1" applyAlignment="1">
      <alignment horizontal="center" vertical="center" wrapText="1"/>
    </xf>
    <xf numFmtId="0" fontId="22" fillId="27" borderId="44" xfId="0" applyFont="1" applyFill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62" fillId="0" borderId="0" xfId="0" applyFont="1" applyAlignment="1">
      <alignment horizontal="right" vertical="center"/>
    </xf>
    <xf numFmtId="10" fontId="8" fillId="9" borderId="0" xfId="2" applyNumberFormat="1" applyFont="1" applyFill="1" applyAlignment="1">
      <alignment vertical="center" wrapText="1"/>
    </xf>
    <xf numFmtId="10" fontId="52" fillId="9" borderId="0" xfId="2" applyNumberFormat="1" applyFont="1" applyFill="1" applyAlignment="1">
      <alignment vertical="center" wrapText="1"/>
    </xf>
    <xf numFmtId="10" fontId="15" fillId="0" borderId="0" xfId="0" applyNumberFormat="1" applyFont="1"/>
    <xf numFmtId="9" fontId="8" fillId="9" borderId="0" xfId="1" applyFont="1" applyFill="1" applyAlignment="1">
      <alignment vertical="center" wrapText="1"/>
    </xf>
    <xf numFmtId="9" fontId="52" fillId="9" borderId="0" xfId="1" applyFont="1" applyFill="1" applyAlignment="1">
      <alignment vertical="center" wrapText="1"/>
    </xf>
    <xf numFmtId="9" fontId="7" fillId="19" borderId="8" xfId="1" applyFont="1" applyFill="1" applyBorder="1" applyAlignment="1">
      <alignment horizontal="center" vertical="center" wrapText="1"/>
    </xf>
    <xf numFmtId="2" fontId="7" fillId="19" borderId="8" xfId="1" applyNumberFormat="1" applyFont="1" applyFill="1" applyBorder="1" applyAlignment="1">
      <alignment horizontal="center" vertical="center" wrapText="1"/>
    </xf>
    <xf numFmtId="0" fontId="19" fillId="0" borderId="0" xfId="4" applyNumberFormat="1" applyFont="1" applyFill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2" fontId="19" fillId="0" borderId="52" xfId="4" applyNumberFormat="1" applyFont="1" applyFill="1" applyBorder="1" applyAlignment="1">
      <alignment horizontal="center" vertical="center"/>
    </xf>
    <xf numFmtId="2" fontId="19" fillId="0" borderId="47" xfId="4" applyNumberFormat="1" applyFont="1" applyFill="1" applyBorder="1" applyAlignment="1">
      <alignment horizontal="center" vertical="center"/>
    </xf>
    <xf numFmtId="2" fontId="19" fillId="27" borderId="52" xfId="4" applyNumberFormat="1" applyFont="1" applyFill="1" applyBorder="1" applyAlignment="1">
      <alignment horizontal="center" vertical="center"/>
    </xf>
    <xf numFmtId="2" fontId="19" fillId="27" borderId="47" xfId="4" applyNumberFormat="1" applyFont="1" applyFill="1" applyBorder="1" applyAlignment="1">
      <alignment horizontal="center" vertical="center"/>
    </xf>
    <xf numFmtId="0" fontId="65" fillId="19" borderId="8" xfId="0" applyFont="1" applyFill="1" applyBorder="1" applyAlignment="1">
      <alignment horizontal="center" vertical="center"/>
    </xf>
    <xf numFmtId="164" fontId="21" fillId="0" borderId="0" xfId="0" applyNumberFormat="1" applyFont="1" applyAlignment="1">
      <alignment horizontal="left" vertical="center"/>
    </xf>
    <xf numFmtId="0" fontId="0" fillId="0" borderId="0" xfId="0" applyAlignment="1">
      <alignment wrapText="1"/>
    </xf>
    <xf numFmtId="10" fontId="19" fillId="0" borderId="0" xfId="1" applyNumberFormat="1" applyFont="1" applyFill="1" applyBorder="1" applyAlignment="1">
      <alignment horizontal="center" vertical="center"/>
    </xf>
    <xf numFmtId="0" fontId="26" fillId="0" borderId="44" xfId="0" applyFont="1" applyBorder="1" applyAlignment="1">
      <alignment horizontal="center" vertical="center" wrapText="1"/>
    </xf>
    <xf numFmtId="0" fontId="19" fillId="0" borderId="79" xfId="0" applyFont="1" applyBorder="1" applyAlignment="1">
      <alignment horizontal="center" vertical="center" wrapText="1"/>
    </xf>
    <xf numFmtId="0" fontId="19" fillId="0" borderId="47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165" fontId="19" fillId="0" borderId="45" xfId="0" applyNumberFormat="1" applyFont="1" applyBorder="1" applyAlignment="1">
      <alignment horizontal="center" vertical="center" wrapText="1"/>
    </xf>
    <xf numFmtId="165" fontId="19" fillId="0" borderId="44" xfId="0" applyNumberFormat="1" applyFont="1" applyBorder="1" applyAlignment="1">
      <alignment horizontal="center" vertical="center" wrapText="1"/>
    </xf>
    <xf numFmtId="165" fontId="26" fillId="0" borderId="44" xfId="0" applyNumberFormat="1" applyFont="1" applyBorder="1" applyAlignment="1">
      <alignment horizontal="center" vertical="center" wrapText="1"/>
    </xf>
    <xf numFmtId="165" fontId="19" fillId="0" borderId="79" xfId="0" applyNumberFormat="1" applyFont="1" applyBorder="1" applyAlignment="1">
      <alignment horizontal="center" vertical="center" wrapText="1"/>
    </xf>
    <xf numFmtId="165" fontId="26" fillId="0" borderId="45" xfId="0" applyNumberFormat="1" applyFont="1" applyBorder="1" applyAlignment="1">
      <alignment horizontal="center" vertical="center" wrapText="1"/>
    </xf>
    <xf numFmtId="165" fontId="19" fillId="0" borderId="69" xfId="0" applyNumberFormat="1" applyFont="1" applyBorder="1" applyAlignment="1">
      <alignment horizontal="center" vertical="center" wrapText="1"/>
    </xf>
    <xf numFmtId="165" fontId="19" fillId="0" borderId="48" xfId="0" applyNumberFormat="1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 wrapText="1"/>
    </xf>
    <xf numFmtId="0" fontId="26" fillId="0" borderId="52" xfId="0" applyFont="1" applyBorder="1" applyAlignment="1">
      <alignment horizontal="center" vertical="center" wrapText="1"/>
    </xf>
    <xf numFmtId="0" fontId="19" fillId="0" borderId="88" xfId="0" applyFont="1" applyBorder="1" applyAlignment="1">
      <alignment horizontal="center" vertical="center" wrapText="1"/>
    </xf>
    <xf numFmtId="10" fontId="0" fillId="0" borderId="0" xfId="1" applyNumberFormat="1" applyFont="1" applyFill="1" applyBorder="1"/>
    <xf numFmtId="2" fontId="19" fillId="0" borderId="48" xfId="4" applyNumberFormat="1" applyFont="1" applyFill="1" applyBorder="1" applyAlignment="1">
      <alignment horizontal="center" vertical="center"/>
    </xf>
    <xf numFmtId="2" fontId="19" fillId="0" borderId="88" xfId="4" applyNumberFormat="1" applyFont="1" applyFill="1" applyBorder="1" applyAlignment="1">
      <alignment horizontal="center" vertical="center"/>
    </xf>
    <xf numFmtId="1" fontId="19" fillId="0" borderId="0" xfId="4" applyNumberFormat="1" applyFont="1" applyFill="1" applyBorder="1" applyAlignment="1">
      <alignment horizontal="center" vertical="center"/>
    </xf>
    <xf numFmtId="165" fontId="19" fillId="0" borderId="0" xfId="4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64" fillId="0" borderId="0" xfId="0" applyFont="1" applyAlignment="1">
      <alignment horizontal="left" wrapText="1"/>
    </xf>
    <xf numFmtId="0" fontId="64" fillId="0" borderId="0" xfId="0" applyFont="1" applyAlignment="1">
      <alignment horizontal="right" wrapText="1"/>
    </xf>
    <xf numFmtId="0" fontId="53" fillId="0" borderId="0" xfId="0" applyFont="1" applyAlignment="1">
      <alignment horizontal="left" wrapText="1"/>
    </xf>
    <xf numFmtId="0" fontId="53" fillId="0" borderId="0" xfId="0" applyFont="1" applyAlignment="1">
      <alignment wrapText="1"/>
    </xf>
    <xf numFmtId="0" fontId="53" fillId="0" borderId="0" xfId="0" applyFont="1" applyAlignment="1">
      <alignment horizontal="right" wrapText="1"/>
    </xf>
    <xf numFmtId="0" fontId="0" fillId="7" borderId="0" xfId="0" applyFill="1"/>
    <xf numFmtId="0" fontId="19" fillId="27" borderId="11" xfId="4" applyNumberFormat="1" applyFont="1" applyFill="1" applyBorder="1" applyAlignment="1">
      <alignment horizontal="center" vertical="center" wrapText="1"/>
    </xf>
    <xf numFmtId="0" fontId="26" fillId="0" borderId="44" xfId="1" applyNumberFormat="1" applyFont="1" applyFill="1" applyBorder="1" applyAlignment="1">
      <alignment horizontal="center" vertical="center" wrapText="1"/>
    </xf>
    <xf numFmtId="0" fontId="8" fillId="27" borderId="84" xfId="0" applyFont="1" applyFill="1" applyBorder="1" applyAlignment="1">
      <alignment horizontal="center" vertical="center" wrapText="1"/>
    </xf>
    <xf numFmtId="0" fontId="8" fillId="27" borderId="44" xfId="0" applyFont="1" applyFill="1" applyBorder="1" applyAlignment="1">
      <alignment horizontal="center" vertical="center" wrapText="1"/>
    </xf>
    <xf numFmtId="0" fontId="20" fillId="0" borderId="0" xfId="2" applyFont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" fontId="7" fillId="13" borderId="0" xfId="0" applyNumberFormat="1" applyFont="1" applyFill="1" applyAlignment="1">
      <alignment horizontal="center" vertical="center" wrapText="1"/>
    </xf>
    <xf numFmtId="0" fontId="7" fillId="2" borderId="106" xfId="0" applyFont="1" applyFill="1" applyBorder="1" applyAlignment="1">
      <alignment horizontal="center" vertical="center" wrapText="1"/>
    </xf>
    <xf numFmtId="0" fontId="19" fillId="0" borderId="108" xfId="4" applyFont="1" applyFill="1" applyBorder="1" applyAlignment="1">
      <alignment horizontal="center" vertical="center" wrapText="1"/>
    </xf>
    <xf numFmtId="10" fontId="19" fillId="0" borderId="108" xfId="4" applyNumberFormat="1" applyFont="1" applyFill="1" applyBorder="1" applyAlignment="1">
      <alignment horizontal="center" vertical="center" wrapText="1"/>
    </xf>
    <xf numFmtId="0" fontId="19" fillId="0" borderId="115" xfId="4" applyFont="1" applyFill="1" applyBorder="1" applyAlignment="1">
      <alignment horizontal="center" vertical="center" wrapText="1"/>
    </xf>
    <xf numFmtId="10" fontId="19" fillId="0" borderId="115" xfId="4" applyNumberFormat="1" applyFont="1" applyFill="1" applyBorder="1" applyAlignment="1">
      <alignment horizontal="center" vertical="center" wrapText="1"/>
    </xf>
    <xf numFmtId="0" fontId="19" fillId="0" borderId="118" xfId="4" applyFont="1" applyFill="1" applyBorder="1" applyAlignment="1">
      <alignment horizontal="center" vertical="center" wrapText="1"/>
    </xf>
    <xf numFmtId="10" fontId="19" fillId="0" borderId="118" xfId="4" applyNumberFormat="1" applyFont="1" applyFill="1" applyBorder="1" applyAlignment="1">
      <alignment horizontal="center" vertical="center" wrapText="1"/>
    </xf>
    <xf numFmtId="0" fontId="19" fillId="0" borderId="120" xfId="4" applyFont="1" applyFill="1" applyBorder="1" applyAlignment="1">
      <alignment horizontal="center" vertical="center" wrapText="1"/>
    </xf>
    <xf numFmtId="10" fontId="19" fillId="0" borderId="120" xfId="4" applyNumberFormat="1" applyFont="1" applyFill="1" applyBorder="1" applyAlignment="1">
      <alignment horizontal="center" vertical="center" wrapText="1"/>
    </xf>
    <xf numFmtId="0" fontId="19" fillId="0" borderId="122" xfId="0" applyFont="1" applyBorder="1" applyAlignment="1">
      <alignment horizontal="center" vertical="center"/>
    </xf>
    <xf numFmtId="0" fontId="19" fillId="0" borderId="122" xfId="4" applyFont="1" applyFill="1" applyBorder="1" applyAlignment="1">
      <alignment horizontal="center" vertical="center" wrapText="1"/>
    </xf>
    <xf numFmtId="10" fontId="19" fillId="0" borderId="122" xfId="4" applyNumberFormat="1" applyFont="1" applyFill="1" applyBorder="1" applyAlignment="1">
      <alignment horizontal="center" vertical="center" wrapText="1"/>
    </xf>
    <xf numFmtId="0" fontId="19" fillId="0" borderId="111" xfId="0" applyFont="1" applyBorder="1" applyAlignment="1">
      <alignment horizontal="center" vertical="center"/>
    </xf>
    <xf numFmtId="0" fontId="19" fillId="0" borderId="124" xfId="0" applyFont="1" applyBorder="1" applyAlignment="1">
      <alignment horizontal="center" vertical="center"/>
    </xf>
    <xf numFmtId="0" fontId="19" fillId="0" borderId="124" xfId="4" applyFont="1" applyFill="1" applyBorder="1" applyAlignment="1">
      <alignment horizontal="center" vertical="center" wrapText="1"/>
    </xf>
    <xf numFmtId="10" fontId="19" fillId="0" borderId="124" xfId="4" applyNumberFormat="1" applyFont="1" applyFill="1" applyBorder="1" applyAlignment="1">
      <alignment horizontal="center" vertical="center" wrapText="1"/>
    </xf>
    <xf numFmtId="0" fontId="19" fillId="0" borderId="125" xfId="0" applyFont="1" applyBorder="1" applyAlignment="1">
      <alignment horizontal="center" vertical="center"/>
    </xf>
    <xf numFmtId="0" fontId="22" fillId="0" borderId="108" xfId="0" applyFont="1" applyBorder="1" applyAlignment="1">
      <alignment horizontal="center" vertical="center" wrapText="1"/>
    </xf>
    <xf numFmtId="10" fontId="22" fillId="0" borderId="108" xfId="3" applyNumberFormat="1" applyFont="1" applyFill="1" applyBorder="1" applyAlignment="1">
      <alignment horizontal="center" vertical="center" wrapText="1"/>
    </xf>
    <xf numFmtId="0" fontId="19" fillId="0" borderId="126" xfId="4" applyFont="1" applyFill="1" applyBorder="1" applyAlignment="1">
      <alignment horizontal="center" vertical="center" wrapText="1"/>
    </xf>
    <xf numFmtId="10" fontId="19" fillId="0" borderId="126" xfId="4" applyNumberFormat="1" applyFont="1" applyFill="1" applyBorder="1" applyAlignment="1">
      <alignment horizontal="center" vertical="center" wrapText="1"/>
    </xf>
    <xf numFmtId="0" fontId="22" fillId="0" borderId="115" xfId="0" applyFont="1" applyBorder="1" applyAlignment="1">
      <alignment horizontal="center" vertical="center" wrapText="1"/>
    </xf>
    <xf numFmtId="10" fontId="22" fillId="0" borderId="115" xfId="3" applyNumberFormat="1" applyFont="1" applyFill="1" applyBorder="1" applyAlignment="1">
      <alignment horizontal="center" vertical="center" wrapText="1"/>
    </xf>
    <xf numFmtId="10" fontId="22" fillId="0" borderId="122" xfId="3" applyNumberFormat="1" applyFont="1" applyFill="1" applyBorder="1" applyAlignment="1">
      <alignment horizontal="center" vertical="center" wrapText="1"/>
    </xf>
    <xf numFmtId="0" fontId="19" fillId="0" borderId="129" xfId="0" applyFont="1" applyBorder="1" applyAlignment="1">
      <alignment horizontal="center" vertical="center"/>
    </xf>
    <xf numFmtId="0" fontId="19" fillId="0" borderId="129" xfId="4" applyFont="1" applyFill="1" applyBorder="1" applyAlignment="1">
      <alignment horizontal="center" vertical="center" wrapText="1"/>
    </xf>
    <xf numFmtId="10" fontId="19" fillId="0" borderId="129" xfId="4" applyNumberFormat="1" applyFont="1" applyFill="1" applyBorder="1" applyAlignment="1">
      <alignment horizontal="center" vertical="center" wrapText="1"/>
    </xf>
    <xf numFmtId="0" fontId="22" fillId="0" borderId="118" xfId="0" applyFont="1" applyBorder="1" applyAlignment="1">
      <alignment horizontal="center" vertical="center" wrapText="1"/>
    </xf>
    <xf numFmtId="0" fontId="19" fillId="0" borderId="130" xfId="0" applyFont="1" applyBorder="1" applyAlignment="1">
      <alignment horizontal="center" vertical="center"/>
    </xf>
    <xf numFmtId="0" fontId="19" fillId="0" borderId="137" xfId="0" applyFont="1" applyBorder="1" applyAlignment="1">
      <alignment horizontal="center" vertical="center"/>
    </xf>
    <xf numFmtId="10" fontId="22" fillId="0" borderId="118" xfId="3" applyNumberFormat="1" applyFont="1" applyFill="1" applyBorder="1" applyAlignment="1">
      <alignment horizontal="center" vertical="center" wrapText="1"/>
    </xf>
    <xf numFmtId="10" fontId="22" fillId="0" borderId="129" xfId="3" applyNumberFormat="1" applyFont="1" applyFill="1" applyBorder="1" applyAlignment="1">
      <alignment horizontal="center" vertical="center" wrapText="1"/>
    </xf>
    <xf numFmtId="0" fontId="22" fillId="0" borderId="122" xfId="0" applyFont="1" applyBorder="1" applyAlignment="1">
      <alignment horizontal="center" vertical="center" wrapText="1"/>
    </xf>
    <xf numFmtId="0" fontId="19" fillId="0" borderId="130" xfId="4" applyFont="1" applyFill="1" applyBorder="1" applyAlignment="1">
      <alignment horizontal="center" vertical="center" wrapText="1"/>
    </xf>
    <xf numFmtId="10" fontId="19" fillId="0" borderId="130" xfId="4" applyNumberFormat="1" applyFont="1" applyFill="1" applyBorder="1" applyAlignment="1">
      <alignment horizontal="center" vertical="center" wrapText="1"/>
    </xf>
    <xf numFmtId="0" fontId="19" fillId="0" borderId="144" xfId="4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10" fontId="19" fillId="0" borderId="1" xfId="1" applyNumberFormat="1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0" fontId="19" fillId="0" borderId="1" xfId="3" applyNumberFormat="1" applyFont="1" applyFill="1" applyBorder="1" applyAlignment="1">
      <alignment horizontal="center" vertical="center" wrapText="1"/>
    </xf>
    <xf numFmtId="0" fontId="19" fillId="0" borderId="1" xfId="4" applyFont="1" applyFill="1" applyBorder="1" applyAlignment="1">
      <alignment horizontal="center" vertical="center" wrapText="1"/>
    </xf>
    <xf numFmtId="10" fontId="19" fillId="0" borderId="1" xfId="4" applyNumberFormat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10" fontId="19" fillId="0" borderId="3" xfId="1" applyNumberFormat="1" applyFont="1" applyBorder="1" applyAlignment="1">
      <alignment horizontal="center" vertical="center"/>
    </xf>
    <xf numFmtId="10" fontId="22" fillId="0" borderId="0" xfId="1" applyNumberFormat="1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9" fillId="27" borderId="0" xfId="0" applyFont="1" applyFill="1" applyAlignment="1">
      <alignment horizontal="center" vertical="center" wrapText="1"/>
    </xf>
    <xf numFmtId="10" fontId="19" fillId="0" borderId="0" xfId="1" applyNumberFormat="1" applyFont="1" applyFill="1" applyBorder="1" applyAlignment="1">
      <alignment horizontal="center" vertical="center" wrapText="1"/>
    </xf>
    <xf numFmtId="0" fontId="0" fillId="0" borderId="0" xfId="1" applyNumberFormat="1" applyFont="1"/>
    <xf numFmtId="9" fontId="33" fillId="0" borderId="0" xfId="1" applyFont="1" applyFill="1" applyBorder="1" applyAlignment="1">
      <alignment horizontal="center" vertical="center"/>
    </xf>
    <xf numFmtId="0" fontId="6" fillId="27" borderId="0" xfId="0" applyFont="1" applyFill="1"/>
    <xf numFmtId="0" fontId="28" fillId="27" borderId="0" xfId="0" applyFont="1" applyFill="1" applyAlignment="1">
      <alignment vertical="center"/>
    </xf>
    <xf numFmtId="0" fontId="31" fillId="27" borderId="0" xfId="0" applyFont="1" applyFill="1" applyAlignment="1">
      <alignment vertical="center"/>
    </xf>
    <xf numFmtId="0" fontId="43" fillId="27" borderId="0" xfId="0" applyFont="1" applyFill="1"/>
    <xf numFmtId="0" fontId="9" fillId="27" borderId="12" xfId="0" applyFont="1" applyFill="1" applyBorder="1" applyAlignment="1">
      <alignment horizontal="center" vertical="center" wrapText="1"/>
    </xf>
    <xf numFmtId="0" fontId="22" fillId="27" borderId="0" xfId="0" applyFont="1" applyFill="1" applyAlignment="1">
      <alignment horizontal="left" vertical="center"/>
    </xf>
    <xf numFmtId="0" fontId="9" fillId="27" borderId="44" xfId="2" applyFont="1" applyFill="1" applyBorder="1" applyAlignment="1">
      <alignment horizontal="center" vertical="center"/>
    </xf>
    <xf numFmtId="0" fontId="9" fillId="27" borderId="0" xfId="2" applyFont="1" applyFill="1" applyAlignment="1">
      <alignment horizontal="center" vertical="center"/>
    </xf>
    <xf numFmtId="0" fontId="13" fillId="27" borderId="0" xfId="0" applyFont="1" applyFill="1" applyAlignment="1">
      <alignment vertical="center"/>
    </xf>
    <xf numFmtId="0" fontId="23" fillId="27" borderId="0" xfId="0" applyFont="1" applyFill="1"/>
    <xf numFmtId="2" fontId="7" fillId="0" borderId="14" xfId="2" applyNumberFormat="1" applyFont="1" applyBorder="1" applyAlignment="1">
      <alignment horizontal="center" vertical="center" wrapText="1"/>
    </xf>
    <xf numFmtId="3" fontId="9" fillId="0" borderId="47" xfId="0" applyNumberFormat="1" applyFont="1" applyBorder="1" applyAlignment="1">
      <alignment horizontal="center" vertical="center" wrapText="1"/>
    </xf>
    <xf numFmtId="3" fontId="9" fillId="0" borderId="8" xfId="0" applyNumberFormat="1" applyFont="1" applyBorder="1" applyAlignment="1">
      <alignment horizontal="center" vertical="center" wrapText="1"/>
    </xf>
    <xf numFmtId="4" fontId="9" fillId="0" borderId="47" xfId="0" applyNumberFormat="1" applyFont="1" applyBorder="1" applyAlignment="1">
      <alignment horizontal="center" vertical="center" wrapText="1"/>
    </xf>
    <xf numFmtId="4" fontId="9" fillId="0" borderId="8" xfId="0" applyNumberFormat="1" applyFont="1" applyBorder="1" applyAlignment="1">
      <alignment horizontal="center" vertical="center" wrapText="1"/>
    </xf>
    <xf numFmtId="0" fontId="25" fillId="0" borderId="47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60" fillId="27" borderId="0" xfId="0" applyFont="1" applyFill="1"/>
    <xf numFmtId="0" fontId="54" fillId="27" borderId="0" xfId="0" applyFont="1" applyFill="1"/>
    <xf numFmtId="0" fontId="28" fillId="27" borderId="0" xfId="0" applyFont="1" applyFill="1" applyAlignment="1">
      <alignment horizontal="left" vertical="center"/>
    </xf>
    <xf numFmtId="0" fontId="6" fillId="27" borderId="0" xfId="0" applyFont="1" applyFill="1" applyAlignment="1">
      <alignment vertical="center"/>
    </xf>
    <xf numFmtId="0" fontId="15" fillId="27" borderId="0" xfId="0" applyFont="1" applyFill="1"/>
    <xf numFmtId="0" fontId="36" fillId="27" borderId="0" xfId="0" applyFont="1" applyFill="1" applyAlignment="1">
      <alignment vertical="center"/>
    </xf>
    <xf numFmtId="0" fontId="19" fillId="27" borderId="47" xfId="4" applyNumberFormat="1" applyFont="1" applyFill="1" applyBorder="1" applyAlignment="1">
      <alignment horizontal="center" vertical="center"/>
    </xf>
    <xf numFmtId="0" fontId="19" fillId="27" borderId="8" xfId="4" applyNumberFormat="1" applyFont="1" applyFill="1" applyBorder="1" applyAlignment="1">
      <alignment horizontal="center" vertical="center"/>
    </xf>
    <xf numFmtId="0" fontId="28" fillId="27" borderId="0" xfId="0" applyFont="1" applyFill="1" applyAlignment="1">
      <alignment horizontal="left" vertical="center" wrapText="1"/>
    </xf>
    <xf numFmtId="0" fontId="9" fillId="27" borderId="52" xfId="0" applyFont="1" applyFill="1" applyBorder="1" applyAlignment="1">
      <alignment horizontal="center" vertical="center" wrapText="1"/>
    </xf>
    <xf numFmtId="165" fontId="9" fillId="27" borderId="52" xfId="0" applyNumberFormat="1" applyFont="1" applyFill="1" applyBorder="1" applyAlignment="1">
      <alignment horizontal="center" vertical="center" wrapText="1"/>
    </xf>
    <xf numFmtId="10" fontId="8" fillId="27" borderId="45" xfId="0" applyNumberFormat="1" applyFont="1" applyFill="1" applyBorder="1" applyAlignment="1">
      <alignment horizontal="center" vertical="center" wrapText="1"/>
    </xf>
    <xf numFmtId="10" fontId="8" fillId="27" borderId="81" xfId="0" applyNumberFormat="1" applyFont="1" applyFill="1" applyBorder="1" applyAlignment="1">
      <alignment horizontal="center" vertical="center" wrapText="1"/>
    </xf>
    <xf numFmtId="0" fontId="19" fillId="27" borderId="48" xfId="4" applyFont="1" applyFill="1" applyBorder="1" applyAlignment="1">
      <alignment horizontal="center" vertical="center"/>
    </xf>
    <xf numFmtId="0" fontId="19" fillId="27" borderId="47" xfId="4" applyFont="1" applyFill="1" applyBorder="1" applyAlignment="1">
      <alignment horizontal="center" vertical="center"/>
    </xf>
    <xf numFmtId="0" fontId="19" fillId="27" borderId="51" xfId="4" applyFont="1" applyFill="1" applyBorder="1" applyAlignment="1">
      <alignment horizontal="center" vertical="center"/>
    </xf>
    <xf numFmtId="165" fontId="19" fillId="27" borderId="8" xfId="4" applyNumberFormat="1" applyFont="1" applyFill="1" applyBorder="1" applyAlignment="1">
      <alignment horizontal="center" vertical="center"/>
    </xf>
    <xf numFmtId="0" fontId="19" fillId="27" borderId="8" xfId="4" applyFont="1" applyFill="1" applyBorder="1" applyAlignment="1">
      <alignment horizontal="center" vertical="center"/>
    </xf>
    <xf numFmtId="0" fontId="19" fillId="27" borderId="79" xfId="4" applyFont="1" applyFill="1" applyBorder="1" applyAlignment="1">
      <alignment horizontal="center" vertical="center"/>
    </xf>
    <xf numFmtId="0" fontId="19" fillId="27" borderId="44" xfId="4" applyFont="1" applyFill="1" applyBorder="1" applyAlignment="1">
      <alignment horizontal="center" vertical="center"/>
    </xf>
    <xf numFmtId="0" fontId="19" fillId="27" borderId="79" xfId="4" applyFont="1" applyFill="1" applyBorder="1" applyAlignment="1">
      <alignment horizontal="center" vertical="center" wrapText="1"/>
    </xf>
    <xf numFmtId="0" fontId="19" fillId="27" borderId="44" xfId="4" applyFont="1" applyFill="1" applyBorder="1" applyAlignment="1">
      <alignment horizontal="center" vertical="center" wrapText="1"/>
    </xf>
    <xf numFmtId="165" fontId="19" fillId="27" borderId="79" xfId="4" applyNumberFormat="1" applyFont="1" applyFill="1" applyBorder="1" applyAlignment="1">
      <alignment horizontal="center" vertical="center"/>
    </xf>
    <xf numFmtId="165" fontId="19" fillId="27" borderId="44" xfId="4" applyNumberFormat="1" applyFont="1" applyFill="1" applyBorder="1" applyAlignment="1">
      <alignment horizontal="center" vertical="center"/>
    </xf>
    <xf numFmtId="1" fontId="19" fillId="27" borderId="44" xfId="4" applyNumberFormat="1" applyFont="1" applyFill="1" applyBorder="1" applyAlignment="1">
      <alignment horizontal="center" vertical="center"/>
    </xf>
    <xf numFmtId="165" fontId="26" fillId="27" borderId="47" xfId="4" applyNumberFormat="1" applyFont="1" applyFill="1" applyBorder="1" applyAlignment="1">
      <alignment horizontal="center" vertical="center"/>
    </xf>
    <xf numFmtId="165" fontId="19" fillId="27" borderId="51" xfId="4" applyNumberFormat="1" applyFont="1" applyFill="1" applyBorder="1" applyAlignment="1">
      <alignment horizontal="center" vertical="center"/>
    </xf>
    <xf numFmtId="1" fontId="19" fillId="27" borderId="8" xfId="4" applyNumberFormat="1" applyFont="1" applyFill="1" applyBorder="1" applyAlignment="1">
      <alignment horizontal="center" vertical="center"/>
    </xf>
    <xf numFmtId="0" fontId="9" fillId="27" borderId="79" xfId="0" applyFont="1" applyFill="1" applyBorder="1" applyAlignment="1">
      <alignment horizontal="center" vertical="center" wrapText="1"/>
    </xf>
    <xf numFmtId="165" fontId="9" fillId="27" borderId="45" xfId="0" applyNumberFormat="1" applyFont="1" applyFill="1" applyBorder="1" applyAlignment="1">
      <alignment horizontal="center" vertical="center" wrapText="1"/>
    </xf>
    <xf numFmtId="165" fontId="8" fillId="27" borderId="45" xfId="0" applyNumberFormat="1" applyFont="1" applyFill="1" applyBorder="1" applyAlignment="1">
      <alignment horizontal="center" vertical="center" wrapText="1"/>
    </xf>
    <xf numFmtId="165" fontId="9" fillId="27" borderId="69" xfId="0" applyNumberFormat="1" applyFont="1" applyFill="1" applyBorder="1" applyAlignment="1">
      <alignment horizontal="center" vertical="center" wrapText="1"/>
    </xf>
    <xf numFmtId="165" fontId="9" fillId="27" borderId="47" xfId="0" applyNumberFormat="1" applyFont="1" applyFill="1" applyBorder="1" applyAlignment="1">
      <alignment horizontal="center" vertical="center" wrapText="1"/>
    </xf>
    <xf numFmtId="165" fontId="9" fillId="27" borderId="48" xfId="0" applyNumberFormat="1" applyFont="1" applyFill="1" applyBorder="1" applyAlignment="1">
      <alignment horizontal="center" vertical="center" wrapText="1"/>
    </xf>
    <xf numFmtId="1" fontId="9" fillId="27" borderId="47" xfId="0" applyNumberFormat="1" applyFont="1" applyFill="1" applyBorder="1" applyAlignment="1">
      <alignment horizontal="center" vertical="center" wrapText="1"/>
    </xf>
    <xf numFmtId="1" fontId="8" fillId="27" borderId="45" xfId="0" applyNumberFormat="1" applyFont="1" applyFill="1" applyBorder="1" applyAlignment="1">
      <alignment horizontal="center" vertical="center" wrapText="1"/>
    </xf>
    <xf numFmtId="1" fontId="9" fillId="27" borderId="45" xfId="0" applyNumberFormat="1" applyFont="1" applyFill="1" applyBorder="1" applyAlignment="1">
      <alignment horizontal="center" vertical="center" wrapText="1"/>
    </xf>
    <xf numFmtId="165" fontId="8" fillId="27" borderId="52" xfId="0" applyNumberFormat="1" applyFont="1" applyFill="1" applyBorder="1" applyAlignment="1">
      <alignment horizontal="center" vertical="center" wrapText="1"/>
    </xf>
    <xf numFmtId="165" fontId="9" fillId="27" borderId="88" xfId="0" applyNumberFormat="1" applyFont="1" applyFill="1" applyBorder="1" applyAlignment="1">
      <alignment horizontal="center" vertical="center" wrapText="1"/>
    </xf>
    <xf numFmtId="0" fontId="8" fillId="27" borderId="52" xfId="0" applyFont="1" applyFill="1" applyBorder="1" applyAlignment="1">
      <alignment horizontal="center" vertical="center" wrapText="1"/>
    </xf>
    <xf numFmtId="0" fontId="9" fillId="27" borderId="88" xfId="0" applyFont="1" applyFill="1" applyBorder="1" applyAlignment="1">
      <alignment horizontal="center" vertical="center" wrapText="1"/>
    </xf>
    <xf numFmtId="0" fontId="9" fillId="27" borderId="63" xfId="0" applyFont="1" applyFill="1" applyBorder="1" applyAlignment="1">
      <alignment horizontal="center" vertical="center" wrapText="1"/>
    </xf>
    <xf numFmtId="0" fontId="8" fillId="27" borderId="63" xfId="0" applyFont="1" applyFill="1" applyBorder="1" applyAlignment="1">
      <alignment horizontal="center" vertical="center" wrapText="1"/>
    </xf>
    <xf numFmtId="0" fontId="9" fillId="27" borderId="89" xfId="0" applyFont="1" applyFill="1" applyBorder="1" applyAlignment="1">
      <alignment horizontal="center" vertical="center" wrapText="1"/>
    </xf>
    <xf numFmtId="0" fontId="9" fillId="27" borderId="11" xfId="0" applyFont="1" applyFill="1" applyBorder="1" applyAlignment="1">
      <alignment horizontal="center" vertical="center" wrapText="1"/>
    </xf>
    <xf numFmtId="0" fontId="8" fillId="27" borderId="11" xfId="0" applyFont="1" applyFill="1" applyBorder="1" applyAlignment="1">
      <alignment horizontal="center" vertical="center" wrapText="1"/>
    </xf>
    <xf numFmtId="0" fontId="9" fillId="27" borderId="36" xfId="0" applyFont="1" applyFill="1" applyBorder="1" applyAlignment="1">
      <alignment horizontal="center" vertical="center" wrapText="1"/>
    </xf>
    <xf numFmtId="0" fontId="19" fillId="27" borderId="79" xfId="0" applyFont="1" applyFill="1" applyBorder="1" applyAlignment="1">
      <alignment horizontal="center" vertical="center" wrapText="1"/>
    </xf>
    <xf numFmtId="0" fontId="9" fillId="27" borderId="44" xfId="0" quotePrefix="1" applyFont="1" applyFill="1" applyBorder="1" applyAlignment="1">
      <alignment horizontal="center" vertical="center" wrapText="1"/>
    </xf>
    <xf numFmtId="0" fontId="9" fillId="27" borderId="14" xfId="0" applyFont="1" applyFill="1" applyBorder="1" applyAlignment="1">
      <alignment horizontal="center" vertical="center" wrapText="1"/>
    </xf>
    <xf numFmtId="0" fontId="8" fillId="27" borderId="14" xfId="0" applyFont="1" applyFill="1" applyBorder="1" applyAlignment="1">
      <alignment horizontal="center" vertical="center" wrapText="1"/>
    </xf>
    <xf numFmtId="0" fontId="9" fillId="27" borderId="90" xfId="0" applyFont="1" applyFill="1" applyBorder="1" applyAlignment="1">
      <alignment horizontal="center" vertical="center" wrapText="1"/>
    </xf>
    <xf numFmtId="0" fontId="8" fillId="27" borderId="47" xfId="0" applyFont="1" applyFill="1" applyBorder="1" applyAlignment="1">
      <alignment horizontal="center" vertical="center" wrapText="1"/>
    </xf>
    <xf numFmtId="0" fontId="9" fillId="27" borderId="48" xfId="0" applyFont="1" applyFill="1" applyBorder="1" applyAlignment="1">
      <alignment horizontal="center" vertical="center" wrapText="1"/>
    </xf>
    <xf numFmtId="0" fontId="9" fillId="27" borderId="45" xfId="0" quotePrefix="1" applyFont="1" applyFill="1" applyBorder="1" applyAlignment="1">
      <alignment horizontal="center" vertical="center" wrapText="1"/>
    </xf>
    <xf numFmtId="1" fontId="9" fillId="27" borderId="69" xfId="0" applyNumberFormat="1" applyFont="1" applyFill="1" applyBorder="1" applyAlignment="1">
      <alignment horizontal="center" vertical="center" wrapText="1"/>
    </xf>
    <xf numFmtId="165" fontId="19" fillId="27" borderId="47" xfId="0" applyNumberFormat="1" applyFont="1" applyFill="1" applyBorder="1" applyAlignment="1">
      <alignment horizontal="center" vertical="center" wrapText="1"/>
    </xf>
    <xf numFmtId="165" fontId="26" fillId="27" borderId="47" xfId="0" applyNumberFormat="1" applyFont="1" applyFill="1" applyBorder="1" applyAlignment="1">
      <alignment horizontal="center" vertical="center" wrapText="1"/>
    </xf>
    <xf numFmtId="0" fontId="19" fillId="0" borderId="0" xfId="0" applyFont="1"/>
    <xf numFmtId="0" fontId="19" fillId="18" borderId="47" xfId="4" applyNumberFormat="1" applyFont="1" applyFill="1" applyBorder="1" applyAlignment="1">
      <alignment horizontal="center" vertical="center"/>
    </xf>
    <xf numFmtId="10" fontId="19" fillId="8" borderId="47" xfId="1" applyNumberFormat="1" applyFont="1" applyFill="1" applyBorder="1" applyAlignment="1">
      <alignment horizontal="center" vertical="center"/>
    </xf>
    <xf numFmtId="10" fontId="19" fillId="8" borderId="44" xfId="1" applyNumberFormat="1" applyFont="1" applyFill="1" applyBorder="1" applyAlignment="1">
      <alignment horizontal="center" vertical="center"/>
    </xf>
    <xf numFmtId="10" fontId="19" fillId="8" borderId="62" xfId="1" applyNumberFormat="1" applyFont="1" applyFill="1" applyBorder="1" applyAlignment="1">
      <alignment horizontal="center" vertical="center"/>
    </xf>
    <xf numFmtId="10" fontId="19" fillId="8" borderId="11" xfId="1" applyNumberFormat="1" applyFont="1" applyFill="1" applyBorder="1" applyAlignment="1">
      <alignment horizontal="center" vertical="center"/>
    </xf>
    <xf numFmtId="0" fontId="26" fillId="19" borderId="47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6" fillId="19" borderId="0" xfId="0" applyFont="1" applyFill="1" applyAlignment="1">
      <alignment horizontal="center" vertical="center"/>
    </xf>
    <xf numFmtId="10" fontId="19" fillId="8" borderId="52" xfId="1" applyNumberFormat="1" applyFont="1" applyFill="1" applyBorder="1" applyAlignment="1">
      <alignment horizontal="center" vertical="center"/>
    </xf>
    <xf numFmtId="10" fontId="19" fillId="27" borderId="47" xfId="1" applyNumberFormat="1" applyFont="1" applyFill="1" applyBorder="1" applyAlignment="1">
      <alignment horizontal="center" vertical="center" wrapText="1"/>
    </xf>
    <xf numFmtId="10" fontId="19" fillId="27" borderId="52" xfId="1" applyNumberFormat="1" applyFont="1" applyFill="1" applyBorder="1" applyAlignment="1">
      <alignment horizontal="center" vertical="center" wrapText="1"/>
    </xf>
    <xf numFmtId="10" fontId="19" fillId="27" borderId="44" xfId="1" applyNumberFormat="1" applyFont="1" applyFill="1" applyBorder="1" applyAlignment="1">
      <alignment horizontal="center" vertical="center" wrapText="1"/>
    </xf>
    <xf numFmtId="10" fontId="26" fillId="27" borderId="44" xfId="1" applyNumberFormat="1" applyFont="1" applyFill="1" applyBorder="1" applyAlignment="1">
      <alignment horizontal="center" vertical="center" wrapText="1"/>
    </xf>
    <xf numFmtId="10" fontId="19" fillId="27" borderId="11" xfId="1" applyNumberFormat="1" applyFont="1" applyFill="1" applyBorder="1" applyAlignment="1">
      <alignment horizontal="center" vertical="center" wrapText="1"/>
    </xf>
    <xf numFmtId="0" fontId="19" fillId="27" borderId="11" xfId="1" applyNumberFormat="1" applyFont="1" applyFill="1" applyBorder="1" applyAlignment="1">
      <alignment horizontal="center" vertical="center" wrapText="1"/>
    </xf>
    <xf numFmtId="0" fontId="26" fillId="27" borderId="11" xfId="1" applyNumberFormat="1" applyFont="1" applyFill="1" applyBorder="1" applyAlignment="1">
      <alignment horizontal="center" vertical="center" wrapText="1"/>
    </xf>
    <xf numFmtId="0" fontId="19" fillId="27" borderId="44" xfId="4" applyNumberFormat="1" applyFont="1" applyFill="1" applyBorder="1" applyAlignment="1">
      <alignment horizontal="center" vertical="center" wrapText="1"/>
    </xf>
    <xf numFmtId="0" fontId="19" fillId="27" borderId="44" xfId="1" applyNumberFormat="1" applyFont="1" applyFill="1" applyBorder="1" applyAlignment="1">
      <alignment horizontal="center" vertical="center" wrapText="1"/>
    </xf>
    <xf numFmtId="0" fontId="26" fillId="27" borderId="44" xfId="1" applyNumberFormat="1" applyFont="1" applyFill="1" applyBorder="1" applyAlignment="1">
      <alignment horizontal="center" vertical="center" wrapText="1"/>
    </xf>
    <xf numFmtId="0" fontId="19" fillId="27" borderId="91" xfId="0" applyFont="1" applyFill="1" applyBorder="1" applyAlignment="1">
      <alignment horizontal="center" vertical="center" wrapText="1"/>
    </xf>
    <xf numFmtId="0" fontId="26" fillId="27" borderId="91" xfId="0" applyFont="1" applyFill="1" applyBorder="1" applyAlignment="1">
      <alignment horizontal="center" vertical="center" wrapText="1"/>
    </xf>
    <xf numFmtId="10" fontId="22" fillId="27" borderId="91" xfId="0" applyNumberFormat="1" applyFont="1" applyFill="1" applyBorder="1" applyAlignment="1">
      <alignment horizontal="center" vertical="center" wrapText="1"/>
    </xf>
    <xf numFmtId="9" fontId="25" fillId="27" borderId="91" xfId="0" applyNumberFormat="1" applyFont="1" applyFill="1" applyBorder="1" applyAlignment="1">
      <alignment horizontal="center" vertical="center" wrapText="1"/>
    </xf>
    <xf numFmtId="10" fontId="22" fillId="27" borderId="92" xfId="0" applyNumberFormat="1" applyFont="1" applyFill="1" applyBorder="1" applyAlignment="1">
      <alignment horizontal="center" vertical="center" wrapText="1"/>
    </xf>
    <xf numFmtId="10" fontId="25" fillId="27" borderId="92" xfId="0" applyNumberFormat="1" applyFont="1" applyFill="1" applyBorder="1" applyAlignment="1">
      <alignment horizontal="center" vertical="center" wrapText="1"/>
    </xf>
    <xf numFmtId="0" fontId="22" fillId="27" borderId="83" xfId="0" applyFont="1" applyFill="1" applyBorder="1" applyAlignment="1">
      <alignment horizontal="center" vertical="center" wrapText="1"/>
    </xf>
    <xf numFmtId="0" fontId="43" fillId="0" borderId="0" xfId="0" applyFont="1"/>
    <xf numFmtId="0" fontId="8" fillId="3" borderId="43" xfId="2" applyFont="1" applyFill="1" applyBorder="1" applyAlignment="1">
      <alignment horizontal="center" vertical="center" wrapText="1"/>
    </xf>
    <xf numFmtId="0" fontId="26" fillId="3" borderId="43" xfId="2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13" fillId="27" borderId="0" xfId="0" applyFont="1" applyFill="1" applyAlignment="1">
      <alignment horizontal="center" vertical="center" wrapText="1"/>
    </xf>
    <xf numFmtId="0" fontId="8" fillId="3" borderId="45" xfId="2" applyFont="1" applyFill="1" applyBorder="1" applyAlignment="1">
      <alignment horizontal="center" vertical="center" wrapText="1"/>
    </xf>
    <xf numFmtId="0" fontId="8" fillId="3" borderId="44" xfId="2" applyFont="1" applyFill="1" applyBorder="1" applyAlignment="1">
      <alignment horizontal="center" vertical="center" wrapText="1"/>
    </xf>
    <xf numFmtId="0" fontId="7" fillId="2" borderId="29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8" fillId="3" borderId="44" xfId="2" applyFont="1" applyFill="1" applyBorder="1" applyAlignment="1">
      <alignment horizontal="left" vertical="center" wrapText="1"/>
    </xf>
    <xf numFmtId="0" fontId="8" fillId="3" borderId="45" xfId="2" applyFont="1" applyFill="1" applyBorder="1" applyAlignment="1">
      <alignment horizontal="left" vertical="center" wrapText="1"/>
    </xf>
    <xf numFmtId="0" fontId="8" fillId="3" borderId="43" xfId="2" applyFont="1" applyFill="1" applyBorder="1" applyAlignment="1">
      <alignment horizontal="left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3" fillId="27" borderId="0" xfId="0" applyFont="1" applyFill="1" applyAlignment="1">
      <alignment horizontal="center" vertical="center"/>
    </xf>
    <xf numFmtId="0" fontId="7" fillId="5" borderId="5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9" fillId="0" borderId="48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9" fillId="0" borderId="69" xfId="0" applyFont="1" applyBorder="1" applyAlignment="1">
      <alignment horizontal="center"/>
    </xf>
    <xf numFmtId="0" fontId="9" fillId="0" borderId="70" xfId="0" applyFont="1" applyBorder="1" applyAlignment="1">
      <alignment horizont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12" xfId="2" applyFont="1" applyBorder="1" applyAlignment="1">
      <alignment horizontal="left" vertical="center" wrapText="1"/>
    </xf>
    <xf numFmtId="0" fontId="9" fillId="0" borderId="54" xfId="2" applyFont="1" applyBorder="1" applyAlignment="1">
      <alignment horizontal="left" vertical="center" wrapText="1"/>
    </xf>
    <xf numFmtId="0" fontId="7" fillId="2" borderId="29" xfId="2" applyFont="1" applyFill="1" applyBorder="1" applyAlignment="1">
      <alignment horizontal="left" vertical="center" wrapText="1"/>
    </xf>
    <xf numFmtId="0" fontId="9" fillId="0" borderId="53" xfId="2" applyFont="1" applyBorder="1" applyAlignment="1">
      <alignment horizontal="left" vertical="center"/>
    </xf>
    <xf numFmtId="0" fontId="7" fillId="15" borderId="14" xfId="2" applyFont="1" applyFill="1" applyBorder="1" applyAlignment="1">
      <alignment horizontal="left" vertical="center" wrapText="1"/>
    </xf>
    <xf numFmtId="0" fontId="9" fillId="0" borderId="10" xfId="2" applyFont="1" applyBorder="1" applyAlignment="1">
      <alignment horizontal="left" vertical="center"/>
    </xf>
    <xf numFmtId="0" fontId="8" fillId="3" borderId="2" xfId="2" applyFont="1" applyFill="1" applyBorder="1" applyAlignment="1">
      <alignment horizontal="center" vertical="center" wrapText="1"/>
    </xf>
    <xf numFmtId="0" fontId="8" fillId="3" borderId="0" xfId="2" applyFont="1" applyFill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54" xfId="2" applyFont="1" applyBorder="1" applyAlignment="1">
      <alignment horizontal="left" vertical="center"/>
    </xf>
    <xf numFmtId="0" fontId="9" fillId="0" borderId="10" xfId="2" applyFont="1" applyBorder="1" applyAlignment="1">
      <alignment horizontal="center" vertical="center" wrapText="1"/>
    </xf>
    <xf numFmtId="0" fontId="9" fillId="0" borderId="53" xfId="2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0" borderId="12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9" fillId="0" borderId="12" xfId="2" applyFont="1" applyBorder="1" applyAlignment="1">
      <alignment horizontal="left" vertical="center"/>
    </xf>
    <xf numFmtId="0" fontId="9" fillId="27" borderId="54" xfId="2" applyFont="1" applyFill="1" applyBorder="1" applyAlignment="1">
      <alignment horizontal="left" vertical="center"/>
    </xf>
    <xf numFmtId="0" fontId="9" fillId="27" borderId="12" xfId="2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9" fillId="27" borderId="10" xfId="2" applyFont="1" applyFill="1" applyBorder="1" applyAlignment="1">
      <alignment horizontal="center" vertical="center" wrapText="1"/>
    </xf>
    <xf numFmtId="0" fontId="9" fillId="27" borderId="12" xfId="2" applyFont="1" applyFill="1" applyBorder="1" applyAlignment="1">
      <alignment horizontal="center" vertical="center" wrapText="1"/>
    </xf>
    <xf numFmtId="0" fontId="9" fillId="27" borderId="11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3" fillId="19" borderId="8" xfId="2" applyFont="1" applyFill="1" applyBorder="1" applyAlignment="1">
      <alignment horizontal="center" vertical="center"/>
    </xf>
    <xf numFmtId="0" fontId="9" fillId="0" borderId="45" xfId="2" applyFont="1" applyBorder="1" applyAlignment="1">
      <alignment horizontal="center" vertical="center"/>
    </xf>
    <xf numFmtId="0" fontId="9" fillId="0" borderId="44" xfId="2" applyFont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19" fillId="0" borderId="53" xfId="2" applyFont="1" applyBorder="1" applyAlignment="1">
      <alignment horizontal="left" vertical="center"/>
    </xf>
    <xf numFmtId="0" fontId="7" fillId="2" borderId="29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9" fillId="15" borderId="60" xfId="0" applyFont="1" applyFill="1" applyBorder="1" applyAlignment="1">
      <alignment horizontal="center" vertical="center" wrapText="1"/>
    </xf>
    <xf numFmtId="0" fontId="19" fillId="15" borderId="61" xfId="0" applyFont="1" applyFill="1" applyBorder="1" applyAlignment="1">
      <alignment horizontal="center" vertical="center" wrapText="1"/>
    </xf>
    <xf numFmtId="0" fontId="19" fillId="15" borderId="41" xfId="0" applyFont="1" applyFill="1" applyBorder="1" applyAlignment="1">
      <alignment horizontal="center" vertical="center" wrapText="1"/>
    </xf>
    <xf numFmtId="0" fontId="19" fillId="15" borderId="42" xfId="0" applyFont="1" applyFill="1" applyBorder="1" applyAlignment="1">
      <alignment horizontal="center" vertical="center" wrapText="1"/>
    </xf>
    <xf numFmtId="0" fontId="19" fillId="15" borderId="51" xfId="0" applyFont="1" applyFill="1" applyBorder="1" applyAlignment="1">
      <alignment horizontal="center" vertical="center" wrapText="1"/>
    </xf>
    <xf numFmtId="0" fontId="19" fillId="15" borderId="50" xfId="0" applyFont="1" applyFill="1" applyBorder="1" applyAlignment="1">
      <alignment horizontal="center" vertical="center" wrapText="1"/>
    </xf>
    <xf numFmtId="0" fontId="19" fillId="15" borderId="32" xfId="0" applyFont="1" applyFill="1" applyBorder="1" applyAlignment="1">
      <alignment horizontal="center" vertical="center" wrapText="1"/>
    </xf>
    <xf numFmtId="0" fontId="19" fillId="15" borderId="31" xfId="0" applyFont="1" applyFill="1" applyBorder="1" applyAlignment="1">
      <alignment horizontal="center" vertical="center" wrapText="1"/>
    </xf>
    <xf numFmtId="0" fontId="19" fillId="15" borderId="48" xfId="0" applyFont="1" applyFill="1" applyBorder="1" applyAlignment="1">
      <alignment horizontal="center" vertical="center" wrapText="1"/>
    </xf>
    <xf numFmtId="0" fontId="19" fillId="15" borderId="49" xfId="0" applyFont="1" applyFill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47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66" fillId="0" borderId="32" xfId="5" applyFont="1" applyBorder="1" applyAlignment="1">
      <alignment horizontal="left" vertical="center" wrapText="1"/>
    </xf>
    <xf numFmtId="0" fontId="66" fillId="0" borderId="2" xfId="5" applyFont="1" applyBorder="1" applyAlignment="1">
      <alignment horizontal="left" vertical="center" wrapText="1"/>
    </xf>
    <xf numFmtId="0" fontId="66" fillId="0" borderId="31" xfId="5" applyFont="1" applyBorder="1" applyAlignment="1">
      <alignment horizontal="left" vertical="center" wrapText="1"/>
    </xf>
    <xf numFmtId="0" fontId="66" fillId="0" borderId="41" xfId="5" applyFont="1" applyBorder="1" applyAlignment="1">
      <alignment horizontal="left" vertical="center" wrapText="1"/>
    </xf>
    <xf numFmtId="0" fontId="66" fillId="0" borderId="0" xfId="5" applyFont="1" applyBorder="1" applyAlignment="1">
      <alignment horizontal="left" vertical="center" wrapText="1"/>
    </xf>
    <xf numFmtId="0" fontId="66" fillId="0" borderId="42" xfId="5" applyFont="1" applyBorder="1" applyAlignment="1">
      <alignment horizontal="left" vertical="center" wrapText="1"/>
    </xf>
    <xf numFmtId="0" fontId="66" fillId="0" borderId="48" xfId="5" applyFont="1" applyBorder="1" applyAlignment="1">
      <alignment horizontal="left" vertical="center" wrapText="1"/>
    </xf>
    <xf numFmtId="0" fontId="66" fillId="0" borderId="47" xfId="5" applyFont="1" applyBorder="1" applyAlignment="1">
      <alignment horizontal="left" vertical="center" wrapText="1"/>
    </xf>
    <xf numFmtId="0" fontId="66" fillId="0" borderId="49" xfId="5" applyFont="1" applyBorder="1" applyAlignment="1">
      <alignment horizontal="left" vertical="center" wrapText="1"/>
    </xf>
    <xf numFmtId="0" fontId="66" fillId="0" borderId="60" xfId="5" applyFont="1" applyBorder="1" applyAlignment="1">
      <alignment horizontal="left" vertical="center" wrapText="1"/>
    </xf>
    <xf numFmtId="0" fontId="66" fillId="0" borderId="43" xfId="5" applyFont="1" applyBorder="1" applyAlignment="1">
      <alignment horizontal="left" vertical="center" wrapText="1"/>
    </xf>
    <xf numFmtId="0" fontId="66" fillId="0" borderId="61" xfId="5" applyFont="1" applyBorder="1" applyAlignment="1">
      <alignment horizontal="left" vertical="center" wrapText="1"/>
    </xf>
    <xf numFmtId="0" fontId="67" fillId="0" borderId="60" xfId="5" applyFont="1" applyBorder="1" applyAlignment="1">
      <alignment horizontal="left" vertical="center" wrapText="1"/>
    </xf>
    <xf numFmtId="0" fontId="67" fillId="0" borderId="43" xfId="5" applyFont="1" applyBorder="1" applyAlignment="1">
      <alignment horizontal="left" vertical="center" wrapText="1"/>
    </xf>
    <xf numFmtId="0" fontId="67" fillId="0" borderId="61" xfId="5" applyFont="1" applyBorder="1" applyAlignment="1">
      <alignment horizontal="left" vertical="center" wrapText="1"/>
    </xf>
    <xf numFmtId="0" fontId="67" fillId="0" borderId="41" xfId="5" applyFont="1" applyBorder="1" applyAlignment="1">
      <alignment horizontal="left" vertical="center" wrapText="1"/>
    </xf>
    <xf numFmtId="0" fontId="67" fillId="0" borderId="0" xfId="5" applyFont="1" applyBorder="1" applyAlignment="1">
      <alignment horizontal="left" vertical="center" wrapText="1"/>
    </xf>
    <xf numFmtId="0" fontId="67" fillId="0" borderId="42" xfId="5" applyFont="1" applyBorder="1" applyAlignment="1">
      <alignment horizontal="left" vertical="center" wrapText="1"/>
    </xf>
    <xf numFmtId="0" fontId="67" fillId="0" borderId="48" xfId="5" applyFont="1" applyBorder="1" applyAlignment="1">
      <alignment horizontal="left" vertical="center" wrapText="1"/>
    </xf>
    <xf numFmtId="0" fontId="67" fillId="0" borderId="47" xfId="5" applyFont="1" applyBorder="1" applyAlignment="1">
      <alignment horizontal="left" vertical="center" wrapText="1"/>
    </xf>
    <xf numFmtId="0" fontId="67" fillId="0" borderId="49" xfId="5" applyFont="1" applyBorder="1" applyAlignment="1">
      <alignment horizontal="left" vertical="center" wrapText="1"/>
    </xf>
    <xf numFmtId="0" fontId="66" fillId="0" borderId="68" xfId="5" applyFont="1" applyBorder="1" applyAlignment="1">
      <alignment horizontal="left" vertical="center" wrapText="1"/>
    </xf>
    <xf numFmtId="0" fontId="66" fillId="0" borderId="29" xfId="5" applyFont="1" applyBorder="1" applyAlignment="1">
      <alignment horizontal="left" vertical="center" wrapText="1"/>
    </xf>
    <xf numFmtId="0" fontId="66" fillId="0" borderId="30" xfId="5" applyFont="1" applyBorder="1" applyAlignment="1">
      <alignment horizontal="left" vertical="center" wrapText="1"/>
    </xf>
    <xf numFmtId="0" fontId="19" fillId="0" borderId="51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9" xfId="0" applyBorder="1" applyAlignment="1">
      <alignment horizontal="left"/>
    </xf>
    <xf numFmtId="0" fontId="0" fillId="0" borderId="29" xfId="0" applyBorder="1" applyAlignment="1">
      <alignment horizontal="center"/>
    </xf>
    <xf numFmtId="0" fontId="49" fillId="0" borderId="8" xfId="0" applyFont="1" applyBorder="1" applyAlignment="1">
      <alignment horizontal="left"/>
    </xf>
    <xf numFmtId="0" fontId="49" fillId="0" borderId="0" xfId="0" applyFont="1" applyAlignment="1">
      <alignment horizontal="left"/>
    </xf>
    <xf numFmtId="0" fontId="0" fillId="0" borderId="30" xfId="0" applyBorder="1" applyAlignment="1">
      <alignment horizontal="center"/>
    </xf>
    <xf numFmtId="10" fontId="0" fillId="0" borderId="11" xfId="1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8" fillId="0" borderId="82" xfId="0" applyFont="1" applyBorder="1" applyAlignment="1">
      <alignment horizontal="center" vertical="center" wrapText="1"/>
    </xf>
    <xf numFmtId="0" fontId="56" fillId="0" borderId="83" xfId="0" applyFont="1" applyBorder="1"/>
    <xf numFmtId="10" fontId="8" fillId="0" borderId="0" xfId="0" applyNumberFormat="1" applyFont="1" applyAlignment="1">
      <alignment horizontal="center" vertical="center" wrapText="1"/>
    </xf>
    <xf numFmtId="0" fontId="0" fillId="0" borderId="0" xfId="0"/>
    <xf numFmtId="0" fontId="56" fillId="0" borderId="80" xfId="0" applyFont="1" applyBorder="1"/>
    <xf numFmtId="10" fontId="8" fillId="0" borderId="82" xfId="0" applyNumberFormat="1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10" fontId="8" fillId="27" borderId="43" xfId="0" applyNumberFormat="1" applyFont="1" applyFill="1" applyBorder="1" applyAlignment="1">
      <alignment horizontal="center" vertical="center" wrapText="1"/>
    </xf>
    <xf numFmtId="10" fontId="8" fillId="27" borderId="0" xfId="0" applyNumberFormat="1" applyFont="1" applyFill="1" applyAlignment="1">
      <alignment horizontal="center" vertical="center" wrapText="1"/>
    </xf>
    <xf numFmtId="10" fontId="8" fillId="27" borderId="47" xfId="0" applyNumberFormat="1" applyFont="1" applyFill="1" applyBorder="1" applyAlignment="1">
      <alignment horizontal="center" vertical="center" wrapText="1"/>
    </xf>
    <xf numFmtId="0" fontId="9" fillId="0" borderId="80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3" xfId="0" applyFont="1" applyBorder="1" applyAlignment="1">
      <alignment horizontal="center" vertical="center" wrapText="1"/>
    </xf>
    <xf numFmtId="10" fontId="8" fillId="0" borderId="80" xfId="0" applyNumberFormat="1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33" fillId="11" borderId="0" xfId="2" applyFont="1" applyFill="1" applyAlignment="1">
      <alignment horizontal="left" vertical="center" wrapText="1"/>
    </xf>
    <xf numFmtId="0" fontId="33" fillId="11" borderId="0" xfId="2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8" fillId="9" borderId="2" xfId="2" applyFont="1" applyFill="1" applyBorder="1" applyAlignment="1">
      <alignment horizontal="center" vertical="center" wrapText="1"/>
    </xf>
    <xf numFmtId="0" fontId="8" fillId="9" borderId="0" xfId="2" applyFont="1" applyFill="1" applyAlignment="1">
      <alignment horizontal="left" vertical="center" wrapText="1"/>
    </xf>
    <xf numFmtId="0" fontId="8" fillId="9" borderId="0" xfId="2" applyFont="1" applyFill="1" applyAlignment="1">
      <alignment horizontal="center" vertical="center" wrapText="1"/>
    </xf>
    <xf numFmtId="0" fontId="8" fillId="9" borderId="0" xfId="2" applyFont="1" applyFill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10" fontId="8" fillId="0" borderId="47" xfId="0" applyNumberFormat="1" applyFont="1" applyBorder="1" applyAlignment="1">
      <alignment horizontal="center" vertical="center" wrapText="1"/>
    </xf>
    <xf numFmtId="10" fontId="8" fillId="0" borderId="43" xfId="0" applyNumberFormat="1" applyFont="1" applyBorder="1" applyAlignment="1">
      <alignment horizontal="center" vertical="center" wrapText="1"/>
    </xf>
    <xf numFmtId="9" fontId="8" fillId="0" borderId="43" xfId="1" applyFont="1" applyFill="1" applyBorder="1" applyAlignment="1">
      <alignment horizontal="center" vertical="center" wrapText="1"/>
    </xf>
    <xf numFmtId="9" fontId="8" fillId="0" borderId="47" xfId="1" applyFont="1" applyFill="1" applyBorder="1" applyAlignment="1">
      <alignment horizontal="center" vertical="center" wrapText="1"/>
    </xf>
    <xf numFmtId="0" fontId="56" fillId="27" borderId="80" xfId="0" applyFont="1" applyFill="1" applyBorder="1"/>
    <xf numFmtId="0" fontId="22" fillId="0" borderId="45" xfId="0" applyFont="1" applyBorder="1" applyAlignment="1">
      <alignment horizontal="center" vertical="center" wrapText="1"/>
    </xf>
    <xf numFmtId="10" fontId="8" fillId="0" borderId="83" xfId="0" applyNumberFormat="1" applyFont="1" applyBorder="1" applyAlignment="1">
      <alignment horizontal="center" vertical="center" wrapText="1"/>
    </xf>
    <xf numFmtId="0" fontId="22" fillId="0" borderId="130" xfId="0" applyFont="1" applyBorder="1" applyAlignment="1">
      <alignment horizontal="center" vertical="center" wrapText="1"/>
    </xf>
    <xf numFmtId="0" fontId="19" fillId="0" borderId="130" xfId="4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wrapText="1"/>
    </xf>
    <xf numFmtId="0" fontId="22" fillId="0" borderId="6" xfId="0" applyFont="1" applyBorder="1" applyAlignment="1">
      <alignment horizontal="center" wrapText="1"/>
    </xf>
    <xf numFmtId="0" fontId="22" fillId="0" borderId="5" xfId="0" applyFont="1" applyBorder="1" applyAlignment="1">
      <alignment horizontal="left"/>
    </xf>
    <xf numFmtId="0" fontId="22" fillId="0" borderId="6" xfId="0" applyFont="1" applyBorder="1" applyAlignment="1">
      <alignment horizontal="left"/>
    </xf>
    <xf numFmtId="0" fontId="22" fillId="0" borderId="5" xfId="0" applyFont="1" applyBorder="1" applyAlignment="1">
      <alignment horizontal="left" wrapText="1"/>
    </xf>
    <xf numFmtId="0" fontId="22" fillId="0" borderId="6" xfId="0" applyFont="1" applyBorder="1" applyAlignment="1">
      <alignment horizontal="left" wrapText="1"/>
    </xf>
    <xf numFmtId="0" fontId="19" fillId="0" borderId="122" xfId="4" applyFont="1" applyFill="1" applyBorder="1" applyAlignment="1">
      <alignment horizontal="center" vertical="center" wrapText="1"/>
    </xf>
    <xf numFmtId="0" fontId="19" fillId="0" borderId="100" xfId="0" applyFont="1" applyBorder="1" applyAlignment="1">
      <alignment horizontal="center" vertical="center"/>
    </xf>
    <xf numFmtId="0" fontId="19" fillId="0" borderId="107" xfId="0" applyFont="1" applyBorder="1" applyAlignment="1">
      <alignment horizontal="center" vertical="center"/>
    </xf>
    <xf numFmtId="0" fontId="26" fillId="9" borderId="146" xfId="0" applyFont="1" applyFill="1" applyBorder="1" applyAlignment="1">
      <alignment horizontal="center" vertical="center" wrapText="1"/>
    </xf>
    <xf numFmtId="0" fontId="26" fillId="9" borderId="130" xfId="0" applyFont="1" applyFill="1" applyBorder="1" applyAlignment="1">
      <alignment horizontal="center" vertical="center" wrapText="1"/>
    </xf>
    <xf numFmtId="0" fontId="19" fillId="0" borderId="130" xfId="0" applyFont="1" applyBorder="1" applyAlignment="1">
      <alignment horizontal="center" vertical="center" wrapText="1"/>
    </xf>
    <xf numFmtId="0" fontId="26" fillId="9" borderId="114" xfId="0" applyFont="1" applyFill="1" applyBorder="1" applyAlignment="1">
      <alignment horizontal="center" vertical="center" wrapText="1"/>
    </xf>
    <xf numFmtId="0" fontId="26" fillId="9" borderId="115" xfId="0" applyFont="1" applyFill="1" applyBorder="1" applyAlignment="1">
      <alignment horizontal="center" vertical="center" wrapText="1"/>
    </xf>
    <xf numFmtId="0" fontId="26" fillId="9" borderId="110" xfId="0" applyFont="1" applyFill="1" applyBorder="1" applyAlignment="1">
      <alignment horizontal="center" vertical="center" wrapText="1"/>
    </xf>
    <xf numFmtId="0" fontId="26" fillId="9" borderId="118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10" fontId="19" fillId="0" borderId="3" xfId="1" applyNumberFormat="1" applyFont="1" applyBorder="1" applyAlignment="1">
      <alignment horizontal="center" vertical="center"/>
    </xf>
    <xf numFmtId="10" fontId="19" fillId="0" borderId="4" xfId="1" applyNumberFormat="1" applyFont="1" applyBorder="1" applyAlignment="1">
      <alignment horizontal="center" vertical="center"/>
    </xf>
    <xf numFmtId="0" fontId="26" fillId="12" borderId="5" xfId="0" applyFont="1" applyFill="1" applyBorder="1" applyAlignment="1">
      <alignment horizontal="center" wrapText="1"/>
    </xf>
    <xf numFmtId="0" fontId="26" fillId="12" borderId="7" xfId="0" applyFont="1" applyFill="1" applyBorder="1" applyAlignment="1">
      <alignment horizontal="center" wrapText="1"/>
    </xf>
    <xf numFmtId="0" fontId="26" fillId="12" borderId="6" xfId="0" applyFont="1" applyFill="1" applyBorder="1" applyAlignment="1">
      <alignment horizontal="center" wrapText="1"/>
    </xf>
    <xf numFmtId="0" fontId="22" fillId="0" borderId="1" xfId="0" applyFont="1" applyBorder="1" applyAlignment="1">
      <alignment horizontal="center" wrapText="1"/>
    </xf>
    <xf numFmtId="0" fontId="26" fillId="12" borderId="1" xfId="0" applyFont="1" applyFill="1" applyBorder="1" applyAlignment="1">
      <alignment horizontal="center" wrapText="1"/>
    </xf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/>
    </xf>
    <xf numFmtId="0" fontId="22" fillId="0" borderId="31" xfId="0" applyFont="1" applyBorder="1" applyAlignment="1">
      <alignment horizontal="center"/>
    </xf>
    <xf numFmtId="0" fontId="22" fillId="0" borderId="41" xfId="0" applyFont="1" applyBorder="1" applyAlignment="1">
      <alignment horizontal="center"/>
    </xf>
    <xf numFmtId="0" fontId="22" fillId="0" borderId="42" xfId="0" applyFont="1" applyBorder="1" applyAlignment="1">
      <alignment horizontal="center"/>
    </xf>
    <xf numFmtId="0" fontId="22" fillId="0" borderId="68" xfId="0" applyFont="1" applyBorder="1" applyAlignment="1">
      <alignment horizontal="center"/>
    </xf>
    <xf numFmtId="0" fontId="22" fillId="0" borderId="30" xfId="0" applyFont="1" applyBorder="1" applyAlignment="1">
      <alignment horizontal="center"/>
    </xf>
    <xf numFmtId="0" fontId="26" fillId="12" borderId="32" xfId="0" applyFont="1" applyFill="1" applyBorder="1" applyAlignment="1">
      <alignment horizontal="center" wrapText="1"/>
    </xf>
    <xf numFmtId="0" fontId="26" fillId="12" borderId="2" xfId="0" applyFont="1" applyFill="1" applyBorder="1" applyAlignment="1">
      <alignment horizontal="center" wrapText="1"/>
    </xf>
    <xf numFmtId="0" fontId="26" fillId="12" borderId="31" xfId="0" applyFont="1" applyFill="1" applyBorder="1" applyAlignment="1">
      <alignment horizontal="center" wrapText="1"/>
    </xf>
    <xf numFmtId="0" fontId="26" fillId="12" borderId="41" xfId="0" applyFont="1" applyFill="1" applyBorder="1" applyAlignment="1">
      <alignment horizontal="center" wrapText="1"/>
    </xf>
    <xf numFmtId="0" fontId="26" fillId="12" borderId="0" xfId="0" applyFont="1" applyFill="1" applyAlignment="1">
      <alignment horizontal="center" wrapText="1"/>
    </xf>
    <xf numFmtId="0" fontId="26" fillId="12" borderId="42" xfId="0" applyFont="1" applyFill="1" applyBorder="1" applyAlignment="1">
      <alignment horizontal="center" wrapText="1"/>
    </xf>
    <xf numFmtId="0" fontId="26" fillId="12" borderId="68" xfId="0" applyFont="1" applyFill="1" applyBorder="1" applyAlignment="1">
      <alignment horizontal="center" wrapText="1"/>
    </xf>
    <xf numFmtId="0" fontId="26" fillId="12" borderId="29" xfId="0" applyFont="1" applyFill="1" applyBorder="1" applyAlignment="1">
      <alignment horizontal="center" wrapText="1"/>
    </xf>
    <xf numFmtId="0" fontId="26" fillId="12" borderId="30" xfId="0" applyFont="1" applyFill="1" applyBorder="1" applyAlignment="1">
      <alignment horizontal="center" wrapText="1"/>
    </xf>
    <xf numFmtId="0" fontId="22" fillId="0" borderId="3" xfId="0" applyFont="1" applyBorder="1" applyAlignment="1">
      <alignment horizontal="center"/>
    </xf>
    <xf numFmtId="0" fontId="22" fillId="0" borderId="147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32" xfId="0" applyFont="1" applyBorder="1" applyAlignment="1">
      <alignment horizontal="center" wrapText="1"/>
    </xf>
    <xf numFmtId="0" fontId="22" fillId="0" borderId="31" xfId="0" applyFont="1" applyBorder="1" applyAlignment="1">
      <alignment horizontal="center" wrapText="1"/>
    </xf>
    <xf numFmtId="0" fontId="22" fillId="0" borderId="41" xfId="0" applyFont="1" applyBorder="1" applyAlignment="1">
      <alignment horizontal="center" wrapText="1"/>
    </xf>
    <xf numFmtId="0" fontId="22" fillId="0" borderId="42" xfId="0" applyFont="1" applyBorder="1" applyAlignment="1">
      <alignment horizontal="center" wrapText="1"/>
    </xf>
    <xf numFmtId="0" fontId="22" fillId="0" borderId="68" xfId="0" applyFont="1" applyBorder="1" applyAlignment="1">
      <alignment horizontal="center" wrapText="1"/>
    </xf>
    <xf numFmtId="0" fontId="22" fillId="0" borderId="30" xfId="0" applyFont="1" applyBorder="1" applyAlignment="1">
      <alignment horizontal="center" wrapText="1"/>
    </xf>
    <xf numFmtId="0" fontId="22" fillId="0" borderId="3" xfId="0" applyFont="1" applyBorder="1" applyAlignment="1">
      <alignment horizontal="center" vertical="center"/>
    </xf>
    <xf numFmtId="0" fontId="22" fillId="0" borderId="147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68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6" fillId="12" borderId="32" xfId="0" applyFont="1" applyFill="1" applyBorder="1" applyAlignment="1">
      <alignment horizontal="center" vertical="center" wrapText="1"/>
    </xf>
    <xf numFmtId="0" fontId="26" fillId="12" borderId="2" xfId="0" applyFont="1" applyFill="1" applyBorder="1" applyAlignment="1">
      <alignment horizontal="center" vertical="center" wrapText="1"/>
    </xf>
    <xf numFmtId="0" fontId="26" fillId="12" borderId="31" xfId="0" applyFont="1" applyFill="1" applyBorder="1" applyAlignment="1">
      <alignment horizontal="center" vertical="center" wrapText="1"/>
    </xf>
    <xf numFmtId="0" fontId="26" fillId="12" borderId="68" xfId="0" applyFont="1" applyFill="1" applyBorder="1" applyAlignment="1">
      <alignment horizontal="center" vertical="center" wrapText="1"/>
    </xf>
    <xf numFmtId="0" fontId="26" fillId="12" borderId="29" xfId="0" applyFont="1" applyFill="1" applyBorder="1" applyAlignment="1">
      <alignment horizontal="center" vertical="center" wrapText="1"/>
    </xf>
    <xf numFmtId="0" fontId="26" fillId="12" borderId="30" xfId="0" applyFont="1" applyFill="1" applyBorder="1" applyAlignment="1">
      <alignment horizontal="center" vertical="center" wrapText="1"/>
    </xf>
    <xf numFmtId="0" fontId="19" fillId="0" borderId="115" xfId="0" applyFont="1" applyBorder="1" applyAlignment="1">
      <alignment horizontal="center" vertical="center"/>
    </xf>
    <xf numFmtId="0" fontId="19" fillId="0" borderId="118" xfId="0" applyFont="1" applyBorder="1" applyAlignment="1">
      <alignment horizontal="center" vertical="center"/>
    </xf>
    <xf numFmtId="0" fontId="19" fillId="0" borderId="115" xfId="0" applyFont="1" applyBorder="1" applyAlignment="1">
      <alignment horizontal="center" vertical="center" wrapText="1"/>
    </xf>
    <xf numFmtId="0" fontId="19" fillId="0" borderId="118" xfId="0" applyFont="1" applyBorder="1" applyAlignment="1">
      <alignment horizontal="center" vertical="center" wrapText="1"/>
    </xf>
    <xf numFmtId="0" fontId="19" fillId="0" borderId="100" xfId="0" applyFont="1" applyBorder="1" applyAlignment="1">
      <alignment horizontal="center" vertical="center" wrapText="1"/>
    </xf>
    <xf numFmtId="0" fontId="19" fillId="0" borderId="107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wrapText="1"/>
    </xf>
    <xf numFmtId="0" fontId="19" fillId="0" borderId="6" xfId="0" applyFont="1" applyBorder="1" applyAlignment="1">
      <alignment horizontal="center" wrapText="1"/>
    </xf>
    <xf numFmtId="0" fontId="19" fillId="0" borderId="5" xfId="0" applyFont="1" applyBorder="1" applyAlignment="1">
      <alignment horizontal="left" wrapText="1"/>
    </xf>
    <xf numFmtId="0" fontId="19" fillId="0" borderId="6" xfId="0" applyFont="1" applyBorder="1" applyAlignment="1">
      <alignment horizontal="left" wrapText="1"/>
    </xf>
    <xf numFmtId="0" fontId="19" fillId="0" borderId="115" xfId="4" applyFont="1" applyFill="1" applyBorder="1" applyAlignment="1">
      <alignment horizontal="center" vertical="center" wrapText="1"/>
    </xf>
    <xf numFmtId="0" fontId="19" fillId="0" borderId="118" xfId="4" applyFont="1" applyFill="1" applyBorder="1" applyAlignment="1">
      <alignment horizontal="center" vertical="center" wrapText="1"/>
    </xf>
    <xf numFmtId="10" fontId="19" fillId="0" borderId="115" xfId="4" applyNumberFormat="1" applyFont="1" applyFill="1" applyBorder="1" applyAlignment="1">
      <alignment horizontal="center" vertical="center" wrapText="1"/>
    </xf>
    <xf numFmtId="10" fontId="19" fillId="0" borderId="118" xfId="4" applyNumberFormat="1" applyFont="1" applyFill="1" applyBorder="1" applyAlignment="1">
      <alignment horizontal="center" vertical="center" wrapText="1"/>
    </xf>
    <xf numFmtId="0" fontId="19" fillId="0" borderId="108" xfId="0" applyFont="1" applyBorder="1" applyAlignment="1">
      <alignment horizontal="center" vertical="center" wrapText="1"/>
    </xf>
    <xf numFmtId="0" fontId="19" fillId="0" borderId="108" xfId="0" applyFont="1" applyBorder="1" applyAlignment="1">
      <alignment horizontal="center" vertical="center"/>
    </xf>
    <xf numFmtId="0" fontId="19" fillId="0" borderId="113" xfId="0" applyFont="1" applyBorder="1" applyAlignment="1">
      <alignment horizontal="center" vertical="center"/>
    </xf>
    <xf numFmtId="0" fontId="19" fillId="0" borderId="117" xfId="0" applyFont="1" applyBorder="1" applyAlignment="1">
      <alignment horizontal="center" vertical="center"/>
    </xf>
    <xf numFmtId="0" fontId="19" fillId="0" borderId="109" xfId="0" applyFont="1" applyBorder="1" applyAlignment="1">
      <alignment horizontal="center" vertical="center"/>
    </xf>
    <xf numFmtId="0" fontId="26" fillId="9" borderId="116" xfId="0" applyFont="1" applyFill="1" applyBorder="1" applyAlignment="1">
      <alignment horizontal="center" vertical="center" wrapText="1"/>
    </xf>
    <xf numFmtId="0" fontId="26" fillId="9" borderId="108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wrapText="1"/>
    </xf>
    <xf numFmtId="2" fontId="9" fillId="0" borderId="63" xfId="2" applyNumberFormat="1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2" fontId="9" fillId="0" borderId="44" xfId="2" applyNumberFormat="1" applyFont="1" applyBorder="1" applyAlignment="1">
      <alignment horizontal="center" vertical="center"/>
    </xf>
    <xf numFmtId="2" fontId="9" fillId="0" borderId="45" xfId="2" applyNumberFormat="1" applyFont="1" applyBorder="1" applyAlignment="1">
      <alignment horizontal="center" vertical="center"/>
    </xf>
    <xf numFmtId="0" fontId="26" fillId="9" borderId="112" xfId="0" applyFont="1" applyFill="1" applyBorder="1" applyAlignment="1">
      <alignment horizontal="center" vertical="center" wrapText="1"/>
    </xf>
    <xf numFmtId="0" fontId="26" fillId="9" borderId="122" xfId="0" applyFont="1" applyFill="1" applyBorder="1" applyAlignment="1">
      <alignment horizontal="center" vertical="center" wrapText="1"/>
    </xf>
    <xf numFmtId="0" fontId="19" fillId="0" borderId="122" xfId="0" applyFont="1" applyBorder="1" applyAlignment="1">
      <alignment horizontal="center" vertical="center" wrapText="1"/>
    </xf>
    <xf numFmtId="0" fontId="22" fillId="0" borderId="147" xfId="0" applyFont="1" applyBorder="1" applyAlignment="1">
      <alignment horizontal="center" vertical="center" wrapText="1"/>
    </xf>
    <xf numFmtId="0" fontId="19" fillId="0" borderId="108" xfId="4" applyFont="1" applyFill="1" applyBorder="1" applyAlignment="1">
      <alignment horizontal="center" vertical="center" wrapText="1"/>
    </xf>
    <xf numFmtId="0" fontId="22" fillId="0" borderId="118" xfId="0" applyFont="1" applyBorder="1" applyAlignment="1">
      <alignment horizontal="center" vertical="center" wrapText="1"/>
    </xf>
    <xf numFmtId="0" fontId="19" fillId="0" borderId="124" xfId="4" applyFont="1" applyFill="1" applyBorder="1" applyAlignment="1">
      <alignment horizontal="center" vertical="center" wrapText="1"/>
    </xf>
    <xf numFmtId="0" fontId="19" fillId="0" borderId="126" xfId="4" applyFont="1" applyFill="1" applyBorder="1" applyAlignment="1">
      <alignment horizontal="center" vertical="center" wrapText="1"/>
    </xf>
    <xf numFmtId="0" fontId="19" fillId="0" borderId="135" xfId="4" applyFont="1" applyFill="1" applyBorder="1" applyAlignment="1">
      <alignment horizontal="center" vertical="center" wrapText="1"/>
    </xf>
    <xf numFmtId="0" fontId="19" fillId="0" borderId="136" xfId="4" applyFont="1" applyFill="1" applyBorder="1" applyAlignment="1">
      <alignment horizontal="center" vertical="center" wrapText="1"/>
    </xf>
    <xf numFmtId="0" fontId="19" fillId="0" borderId="121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9" fillId="0" borderId="44" xfId="0" applyFont="1" applyBorder="1" applyAlignment="1">
      <alignment horizontal="center" vertical="center" wrapText="1"/>
    </xf>
    <xf numFmtId="0" fontId="9" fillId="15" borderId="47" xfId="0" applyFont="1" applyFill="1" applyBorder="1" applyAlignment="1">
      <alignment horizontal="left" vertical="center" wrapText="1"/>
    </xf>
    <xf numFmtId="0" fontId="7" fillId="2" borderId="106" xfId="0" applyFont="1" applyFill="1" applyBorder="1" applyAlignment="1">
      <alignment horizontal="center" vertical="center" wrapText="1"/>
    </xf>
    <xf numFmtId="0" fontId="7" fillId="13" borderId="0" xfId="0" applyFont="1" applyFill="1" applyAlignment="1">
      <alignment horizontal="left" vertical="center"/>
    </xf>
    <xf numFmtId="4" fontId="7" fillId="13" borderId="0" xfId="0" applyNumberFormat="1" applyFont="1" applyFill="1" applyAlignment="1">
      <alignment horizontal="center" vertical="center" wrapText="1"/>
    </xf>
    <xf numFmtId="0" fontId="7" fillId="13" borderId="0" xfId="0" applyFont="1" applyFill="1" applyAlignment="1">
      <alignment horizontal="center" vertical="center" wrapText="1"/>
    </xf>
    <xf numFmtId="0" fontId="26" fillId="9" borderId="145" xfId="0" applyFont="1" applyFill="1" applyBorder="1" applyAlignment="1">
      <alignment horizontal="center" vertical="center" wrapText="1"/>
    </xf>
    <xf numFmtId="0" fontId="26" fillId="9" borderId="129" xfId="0" applyFont="1" applyFill="1" applyBorder="1" applyAlignment="1">
      <alignment horizontal="center" vertical="center" wrapText="1"/>
    </xf>
    <xf numFmtId="0" fontId="19" fillId="0" borderId="124" xfId="0" applyFont="1" applyBorder="1" applyAlignment="1">
      <alignment horizontal="center" vertical="center"/>
    </xf>
    <xf numFmtId="0" fontId="19" fillId="0" borderId="129" xfId="0" applyFont="1" applyBorder="1" applyAlignment="1">
      <alignment horizontal="center" vertical="center"/>
    </xf>
    <xf numFmtId="0" fontId="19" fillId="0" borderId="130" xfId="0" applyFont="1" applyBorder="1" applyAlignment="1">
      <alignment horizontal="center" vertical="center"/>
    </xf>
    <xf numFmtId="0" fontId="19" fillId="0" borderId="139" xfId="0" applyFont="1" applyBorder="1" applyAlignment="1">
      <alignment horizontal="center" vertical="center" wrapText="1"/>
    </xf>
    <xf numFmtId="0" fontId="19" fillId="0" borderId="138" xfId="0" applyFont="1" applyBorder="1" applyAlignment="1">
      <alignment horizontal="center" vertical="center" wrapText="1"/>
    </xf>
    <xf numFmtId="0" fontId="19" fillId="0" borderId="131" xfId="0" applyFont="1" applyBorder="1" applyAlignment="1">
      <alignment horizontal="center" vertical="center" wrapText="1"/>
    </xf>
    <xf numFmtId="0" fontId="19" fillId="0" borderId="132" xfId="0" applyFont="1" applyBorder="1" applyAlignment="1">
      <alignment horizontal="center" vertical="center" wrapText="1"/>
    </xf>
    <xf numFmtId="0" fontId="19" fillId="0" borderId="141" xfId="0" applyFont="1" applyBorder="1" applyAlignment="1">
      <alignment horizontal="center" vertical="center" wrapText="1"/>
    </xf>
    <xf numFmtId="0" fontId="19" fillId="0" borderId="140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left" vertical="center"/>
    </xf>
    <xf numFmtId="2" fontId="9" fillId="0" borderId="52" xfId="2" applyNumberFormat="1" applyFont="1" applyBorder="1" applyAlignment="1">
      <alignment horizontal="center" vertical="center"/>
    </xf>
    <xf numFmtId="0" fontId="8" fillId="12" borderId="44" xfId="0" applyFont="1" applyFill="1" applyBorder="1" applyAlignment="1">
      <alignment horizontal="left" vertical="center"/>
    </xf>
    <xf numFmtId="0" fontId="55" fillId="2" borderId="86" xfId="0" applyFont="1" applyFill="1" applyBorder="1" applyAlignment="1">
      <alignment horizontal="center" vertical="center" wrapText="1"/>
    </xf>
    <xf numFmtId="0" fontId="55" fillId="2" borderId="29" xfId="0" applyFont="1" applyFill="1" applyBorder="1" applyAlignment="1">
      <alignment horizontal="center" vertical="center" wrapText="1"/>
    </xf>
    <xf numFmtId="0" fontId="8" fillId="12" borderId="8" xfId="0" applyFont="1" applyFill="1" applyBorder="1" applyAlignment="1">
      <alignment horizontal="left" vertical="center"/>
    </xf>
    <xf numFmtId="0" fontId="9" fillId="15" borderId="2" xfId="0" applyFont="1" applyFill="1" applyBorder="1" applyAlignment="1">
      <alignment horizontal="center" vertical="center" wrapText="1"/>
    </xf>
    <xf numFmtId="0" fontId="9" fillId="15" borderId="0" xfId="0" applyFont="1" applyFill="1" applyAlignment="1">
      <alignment horizontal="center" vertical="center" wrapText="1"/>
    </xf>
    <xf numFmtId="0" fontId="9" fillId="15" borderId="8" xfId="0" applyFont="1" applyFill="1" applyBorder="1" applyAlignment="1">
      <alignment horizontal="center" vertical="center" wrapText="1"/>
    </xf>
    <xf numFmtId="0" fontId="19" fillId="0" borderId="120" xfId="0" applyFont="1" applyBorder="1" applyAlignment="1">
      <alignment horizontal="center" vertical="center"/>
    </xf>
    <xf numFmtId="0" fontId="26" fillId="9" borderId="119" xfId="0" applyFont="1" applyFill="1" applyBorder="1" applyAlignment="1">
      <alignment horizontal="center" vertical="center" wrapText="1"/>
    </xf>
    <xf numFmtId="0" fontId="26" fillId="9" borderId="120" xfId="0" applyFont="1" applyFill="1" applyBorder="1" applyAlignment="1">
      <alignment horizontal="center" vertical="center" wrapText="1"/>
    </xf>
    <xf numFmtId="0" fontId="26" fillId="9" borderId="123" xfId="0" applyFont="1" applyFill="1" applyBorder="1" applyAlignment="1">
      <alignment horizontal="center" vertical="center" wrapText="1"/>
    </xf>
    <xf numFmtId="0" fontId="26" fillId="9" borderId="124" xfId="0" applyFont="1" applyFill="1" applyBorder="1" applyAlignment="1">
      <alignment horizontal="center" vertical="center" wrapText="1"/>
    </xf>
    <xf numFmtId="0" fontId="26" fillId="9" borderId="101" xfId="0" applyFont="1" applyFill="1" applyBorder="1" applyAlignment="1">
      <alignment horizontal="center" vertical="center" wrapText="1"/>
    </xf>
    <xf numFmtId="0" fontId="26" fillId="9" borderId="102" xfId="0" applyFont="1" applyFill="1" applyBorder="1" applyAlignment="1">
      <alignment horizontal="center" vertical="center" wrapText="1"/>
    </xf>
    <xf numFmtId="0" fontId="26" fillId="9" borderId="138" xfId="0" applyFont="1" applyFill="1" applyBorder="1" applyAlignment="1">
      <alignment horizontal="center" vertical="center" wrapText="1"/>
    </xf>
    <xf numFmtId="0" fontId="26" fillId="9" borderId="105" xfId="0" applyFont="1" applyFill="1" applyBorder="1" applyAlignment="1">
      <alignment horizontal="center" vertical="center" wrapText="1"/>
    </xf>
    <xf numFmtId="0" fontId="26" fillId="9" borderId="0" xfId="0" applyFont="1" applyFill="1" applyAlignment="1">
      <alignment horizontal="center" vertical="center" wrapText="1"/>
    </xf>
    <xf numFmtId="0" fontId="26" fillId="9" borderId="132" xfId="0" applyFont="1" applyFill="1" applyBorder="1" applyAlignment="1">
      <alignment horizontal="center" vertical="center" wrapText="1"/>
    </xf>
    <xf numFmtId="0" fontId="26" fillId="9" borderId="103" xfId="0" applyFont="1" applyFill="1" applyBorder="1" applyAlignment="1">
      <alignment horizontal="center" vertical="center" wrapText="1"/>
    </xf>
    <xf numFmtId="0" fontId="26" fillId="9" borderId="104" xfId="0" applyFont="1" applyFill="1" applyBorder="1" applyAlignment="1">
      <alignment horizontal="center" vertical="center" wrapText="1"/>
    </xf>
    <xf numFmtId="0" fontId="26" fillId="9" borderId="140" xfId="0" applyFont="1" applyFill="1" applyBorder="1" applyAlignment="1">
      <alignment horizontal="center" vertical="center" wrapText="1"/>
    </xf>
    <xf numFmtId="0" fontId="19" fillId="0" borderId="120" xfId="4" applyFont="1" applyFill="1" applyBorder="1" applyAlignment="1">
      <alignment horizontal="center" vertical="center" wrapText="1"/>
    </xf>
    <xf numFmtId="0" fontId="19" fillId="0" borderId="120" xfId="0" applyFont="1" applyBorder="1" applyAlignment="1">
      <alignment horizontal="center" vertical="center" wrapText="1"/>
    </xf>
    <xf numFmtId="0" fontId="19" fillId="0" borderId="12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top" wrapText="1"/>
    </xf>
    <xf numFmtId="3" fontId="9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6" fillId="9" borderId="0" xfId="0" applyFont="1" applyFill="1" applyAlignment="1">
      <alignment horizontal="left" vertical="center" wrapText="1"/>
    </xf>
    <xf numFmtId="0" fontId="26" fillId="9" borderId="8" xfId="0" applyFont="1" applyFill="1" applyBorder="1" applyAlignment="1">
      <alignment horizontal="left" vertical="center" wrapText="1"/>
    </xf>
    <xf numFmtId="4" fontId="9" fillId="0" borderId="47" xfId="0" applyNumberFormat="1" applyFont="1" applyBorder="1" applyAlignment="1">
      <alignment horizontal="center" vertical="center" wrapText="1"/>
    </xf>
    <xf numFmtId="0" fontId="33" fillId="11" borderId="0" xfId="0" applyFont="1" applyFill="1" applyAlignment="1">
      <alignment horizontal="left" vertical="center" wrapText="1"/>
    </xf>
    <xf numFmtId="0" fontId="9" fillId="0" borderId="52" xfId="0" applyFont="1" applyBorder="1" applyAlignment="1">
      <alignment horizontal="center" vertical="center"/>
    </xf>
    <xf numFmtId="10" fontId="7" fillId="13" borderId="0" xfId="3" applyNumberFormat="1" applyFont="1" applyFill="1" applyBorder="1" applyAlignment="1">
      <alignment horizontal="center" vertical="center" wrapText="1"/>
    </xf>
    <xf numFmtId="10" fontId="9" fillId="0" borderId="52" xfId="1" applyNumberFormat="1" applyFont="1" applyFill="1" applyBorder="1" applyAlignment="1">
      <alignment horizontal="center" vertical="center" wrapText="1"/>
    </xf>
    <xf numFmtId="10" fontId="9" fillId="0" borderId="44" xfId="1" applyNumberFormat="1" applyFont="1" applyFill="1" applyBorder="1" applyAlignment="1">
      <alignment horizontal="center" vertical="center" wrapText="1"/>
    </xf>
    <xf numFmtId="0" fontId="9" fillId="9" borderId="52" xfId="0" applyFont="1" applyFill="1" applyBorder="1" applyAlignment="1">
      <alignment horizontal="left" vertical="center" wrapText="1"/>
    </xf>
    <xf numFmtId="0" fontId="9" fillId="15" borderId="45" xfId="0" applyFont="1" applyFill="1" applyBorder="1" applyAlignment="1">
      <alignment horizontal="left" vertical="center" wrapText="1"/>
    </xf>
    <xf numFmtId="0" fontId="8" fillId="12" borderId="2" xfId="0" applyFont="1" applyFill="1" applyBorder="1" applyAlignment="1">
      <alignment horizontal="left" vertical="center"/>
    </xf>
    <xf numFmtId="0" fontId="8" fillId="12" borderId="0" xfId="0" applyFont="1" applyFill="1" applyAlignment="1">
      <alignment horizontal="left" vertical="center"/>
    </xf>
    <xf numFmtId="3" fontId="7" fillId="13" borderId="0" xfId="0" applyNumberFormat="1" applyFont="1" applyFill="1" applyAlignment="1">
      <alignment horizontal="center" vertical="center" wrapText="1"/>
    </xf>
    <xf numFmtId="0" fontId="22" fillId="0" borderId="122" xfId="0" applyFont="1" applyBorder="1" applyAlignment="1">
      <alignment horizontal="center" vertical="center" wrapText="1"/>
    </xf>
    <xf numFmtId="0" fontId="19" fillId="0" borderId="142" xfId="4" applyFont="1" applyFill="1" applyBorder="1" applyAlignment="1">
      <alignment horizontal="center" vertical="center" wrapText="1"/>
    </xf>
    <xf numFmtId="0" fontId="19" fillId="0" borderId="143" xfId="4" applyFont="1" applyFill="1" applyBorder="1" applyAlignment="1">
      <alignment horizontal="center" vertical="center" wrapText="1"/>
    </xf>
    <xf numFmtId="10" fontId="9" fillId="0" borderId="44" xfId="3" applyNumberFormat="1" applyFont="1" applyFill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/>
    </xf>
    <xf numFmtId="0" fontId="19" fillId="0" borderId="129" xfId="0" applyFont="1" applyBorder="1" applyAlignment="1">
      <alignment horizontal="center" vertical="center" wrapText="1"/>
    </xf>
    <xf numFmtId="10" fontId="19" fillId="0" borderId="47" xfId="3" applyNumberFormat="1" applyFont="1" applyFill="1" applyBorder="1" applyAlignment="1">
      <alignment horizontal="center" vertical="center" wrapText="1"/>
    </xf>
    <xf numFmtId="4" fontId="9" fillId="0" borderId="8" xfId="0" applyNumberFormat="1" applyFont="1" applyBorder="1" applyAlignment="1">
      <alignment horizontal="center" vertical="center"/>
    </xf>
    <xf numFmtId="10" fontId="19" fillId="0" borderId="8" xfId="1" applyNumberFormat="1" applyFont="1" applyFill="1" applyBorder="1" applyAlignment="1">
      <alignment horizontal="center" vertical="center" wrapText="1"/>
    </xf>
    <xf numFmtId="0" fontId="8" fillId="9" borderId="44" xfId="2" applyFont="1" applyFill="1" applyBorder="1" applyAlignment="1">
      <alignment horizontal="center" vertical="center"/>
    </xf>
    <xf numFmtId="0" fontId="9" fillId="0" borderId="52" xfId="0" applyFont="1" applyBorder="1" applyAlignment="1">
      <alignment horizontal="center" vertical="top" wrapText="1"/>
    </xf>
    <xf numFmtId="0" fontId="8" fillId="9" borderId="52" xfId="2" applyFont="1" applyFill="1" applyBorder="1" applyAlignment="1">
      <alignment horizontal="center" vertical="center"/>
    </xf>
    <xf numFmtId="0" fontId="8" fillId="9" borderId="45" xfId="2" applyFont="1" applyFill="1" applyBorder="1" applyAlignment="1">
      <alignment horizontal="center" vertical="center"/>
    </xf>
    <xf numFmtId="0" fontId="22" fillId="0" borderId="0" xfId="0" applyFont="1" applyAlignment="1">
      <alignment horizontal="left" vertical="top" wrapText="1"/>
    </xf>
    <xf numFmtId="0" fontId="19" fillId="0" borderId="126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3" fontId="9" fillId="0" borderId="47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7" fillId="2" borderId="100" xfId="0" applyFont="1" applyFill="1" applyBorder="1" applyAlignment="1">
      <alignment horizontal="center" vertical="center" wrapText="1"/>
    </xf>
    <xf numFmtId="0" fontId="26" fillId="9" borderId="127" xfId="0" applyFont="1" applyFill="1" applyBorder="1" applyAlignment="1">
      <alignment horizontal="center" vertical="center" wrapText="1"/>
    </xf>
    <xf numFmtId="0" fontId="26" fillId="9" borderId="126" xfId="0" applyFont="1" applyFill="1" applyBorder="1" applyAlignment="1">
      <alignment horizontal="center" vertical="center" wrapText="1"/>
    </xf>
    <xf numFmtId="0" fontId="19" fillId="0" borderId="126" xfId="0" applyFont="1" applyBorder="1" applyAlignment="1">
      <alignment horizontal="center" vertical="center" wrapText="1"/>
    </xf>
    <xf numFmtId="0" fontId="7" fillId="13" borderId="8" xfId="0" applyFont="1" applyFill="1" applyBorder="1" applyAlignment="1">
      <alignment horizontal="left" vertical="center"/>
    </xf>
    <xf numFmtId="0" fontId="26" fillId="9" borderId="2" xfId="0" applyFont="1" applyFill="1" applyBorder="1" applyAlignment="1">
      <alignment horizontal="center" vertical="center" wrapText="1"/>
    </xf>
    <xf numFmtId="0" fontId="26" fillId="9" borderId="9" xfId="0" applyFont="1" applyFill="1" applyBorder="1" applyAlignment="1">
      <alignment horizontal="center" vertical="center" wrapText="1"/>
    </xf>
    <xf numFmtId="0" fontId="55" fillId="2" borderId="94" xfId="0" applyFont="1" applyFill="1" applyBorder="1" applyAlignment="1">
      <alignment horizontal="center" vertical="center" wrapText="1"/>
    </xf>
    <xf numFmtId="0" fontId="19" fillId="0" borderId="128" xfId="0" applyFont="1" applyBorder="1" applyAlignment="1">
      <alignment horizontal="center" vertical="center"/>
    </xf>
    <xf numFmtId="0" fontId="19" fillId="0" borderId="129" xfId="4" applyFont="1" applyFill="1" applyBorder="1" applyAlignment="1">
      <alignment horizontal="center" vertical="center" wrapText="1"/>
    </xf>
    <xf numFmtId="0" fontId="19" fillId="0" borderId="125" xfId="0" applyFont="1" applyBorder="1" applyAlignment="1">
      <alignment horizontal="center" vertical="center"/>
    </xf>
    <xf numFmtId="0" fontId="19" fillId="0" borderId="137" xfId="0" applyFont="1" applyBorder="1" applyAlignment="1">
      <alignment horizontal="center" vertical="center"/>
    </xf>
    <xf numFmtId="0" fontId="19" fillId="0" borderId="144" xfId="0" applyFont="1" applyBorder="1" applyAlignment="1">
      <alignment horizontal="center" vertical="center"/>
    </xf>
    <xf numFmtId="0" fontId="19" fillId="0" borderId="139" xfId="4" applyFont="1" applyFill="1" applyBorder="1" applyAlignment="1">
      <alignment horizontal="center" vertical="center" wrapText="1"/>
    </xf>
    <xf numFmtId="0" fontId="19" fillId="0" borderId="138" xfId="4" applyFont="1" applyFill="1" applyBorder="1" applyAlignment="1">
      <alignment horizontal="center" vertical="center" wrapText="1"/>
    </xf>
    <xf numFmtId="0" fontId="19" fillId="0" borderId="133" xfId="4" applyFont="1" applyFill="1" applyBorder="1" applyAlignment="1">
      <alignment horizontal="center" vertical="center" wrapText="1"/>
    </xf>
    <xf numFmtId="0" fontId="19" fillId="0" borderId="134" xfId="4" applyFont="1" applyFill="1" applyBorder="1" applyAlignment="1">
      <alignment horizontal="center" vertical="center" wrapText="1"/>
    </xf>
    <xf numFmtId="10" fontId="19" fillId="0" borderId="124" xfId="4" applyNumberFormat="1" applyFont="1" applyFill="1" applyBorder="1" applyAlignment="1">
      <alignment horizontal="center" vertical="center" wrapText="1"/>
    </xf>
    <xf numFmtId="10" fontId="19" fillId="0" borderId="126" xfId="4" applyNumberFormat="1" applyFont="1" applyFill="1" applyBorder="1" applyAlignment="1">
      <alignment horizontal="center" vertical="center" wrapText="1"/>
    </xf>
    <xf numFmtId="0" fontId="22" fillId="0" borderId="108" xfId="0" applyFont="1" applyBorder="1" applyAlignment="1">
      <alignment horizontal="center"/>
    </xf>
    <xf numFmtId="0" fontId="22" fillId="0" borderId="108" xfId="0" applyFont="1" applyBorder="1" applyAlignment="1">
      <alignment horizontal="center" vertical="center" wrapText="1"/>
    </xf>
    <xf numFmtId="0" fontId="22" fillId="0" borderId="11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43" fillId="0" borderId="0" xfId="0" applyFont="1" applyAlignment="1">
      <alignment horizontal="left"/>
    </xf>
    <xf numFmtId="0" fontId="25" fillId="15" borderId="45" xfId="0" applyFont="1" applyFill="1" applyBorder="1" applyAlignment="1">
      <alignment horizontal="center" vertical="center" wrapText="1"/>
    </xf>
    <xf numFmtId="0" fontId="25" fillId="15" borderId="8" xfId="0" applyFont="1" applyFill="1" applyBorder="1" applyAlignment="1">
      <alignment horizontal="center" vertical="center" wrapText="1"/>
    </xf>
    <xf numFmtId="0" fontId="0" fillId="27" borderId="0" xfId="0" applyFill="1" applyAlignment="1">
      <alignment horizontal="center" vertical="center" wrapText="1"/>
    </xf>
    <xf numFmtId="9" fontId="22" fillId="27" borderId="47" xfId="0" applyNumberFormat="1" applyFont="1" applyFill="1" applyBorder="1" applyAlignment="1">
      <alignment horizontal="center" vertical="center"/>
    </xf>
    <xf numFmtId="9" fontId="22" fillId="27" borderId="64" xfId="0" applyNumberFormat="1" applyFont="1" applyFill="1" applyBorder="1" applyAlignment="1">
      <alignment horizontal="center" vertical="center"/>
    </xf>
    <xf numFmtId="0" fontId="26" fillId="27" borderId="44" xfId="4" applyFont="1" applyFill="1" applyBorder="1" applyAlignment="1">
      <alignment horizontal="center" vertical="center"/>
    </xf>
    <xf numFmtId="0" fontId="26" fillId="27" borderId="47" xfId="4" applyFont="1" applyFill="1" applyBorder="1" applyAlignment="1">
      <alignment horizontal="center" vertical="center"/>
    </xf>
    <xf numFmtId="165" fontId="26" fillId="27" borderId="45" xfId="4" applyNumberFormat="1" applyFont="1" applyFill="1" applyBorder="1" applyAlignment="1">
      <alignment horizontal="center" vertical="center"/>
    </xf>
    <xf numFmtId="0" fontId="8" fillId="15" borderId="52" xfId="0" applyFont="1" applyFill="1" applyBorder="1" applyAlignment="1">
      <alignment horizontal="center"/>
    </xf>
    <xf numFmtId="0" fontId="22" fillId="15" borderId="47" xfId="0" applyFont="1" applyFill="1" applyBorder="1" applyAlignment="1">
      <alignment horizontal="left" vertical="center" wrapText="1"/>
    </xf>
    <xf numFmtId="0" fontId="19" fillId="15" borderId="47" xfId="0" applyFont="1" applyFill="1" applyBorder="1" applyAlignment="1">
      <alignment horizontal="left" vertical="center" wrapText="1"/>
    </xf>
    <xf numFmtId="0" fontId="19" fillId="15" borderId="45" xfId="0" applyFont="1" applyFill="1" applyBorder="1" applyAlignment="1">
      <alignment horizontal="left" vertical="center" wrapText="1"/>
    </xf>
    <xf numFmtId="0" fontId="22" fillId="15" borderId="52" xfId="0" applyFont="1" applyFill="1" applyBorder="1" applyAlignment="1">
      <alignment horizontal="left" vertical="center" wrapText="1"/>
    </xf>
    <xf numFmtId="0" fontId="22" fillId="15" borderId="45" xfId="0" applyFont="1" applyFill="1" applyBorder="1" applyAlignment="1">
      <alignment horizontal="left" vertical="center" wrapText="1"/>
    </xf>
    <xf numFmtId="0" fontId="22" fillId="15" borderId="63" xfId="0" applyFont="1" applyFill="1" applyBorder="1" applyAlignment="1">
      <alignment horizontal="left" vertical="center" wrapText="1"/>
    </xf>
    <xf numFmtId="0" fontId="22" fillId="28" borderId="63" xfId="0" applyFont="1" applyFill="1" applyBorder="1" applyAlignment="1">
      <alignment horizontal="left" vertical="center" wrapText="1"/>
    </xf>
    <xf numFmtId="0" fontId="22" fillId="15" borderId="14" xfId="0" applyFont="1" applyFill="1" applyBorder="1" applyAlignment="1">
      <alignment horizontal="left" vertical="center" wrapText="1"/>
    </xf>
    <xf numFmtId="0" fontId="7" fillId="19" borderId="9" xfId="0" applyFont="1" applyFill="1" applyBorder="1" applyAlignment="1">
      <alignment horizontal="center" vertical="center" wrapText="1"/>
    </xf>
    <xf numFmtId="0" fontId="7" fillId="19" borderId="0" xfId="0" applyFont="1" applyFill="1" applyAlignment="1">
      <alignment horizontal="center" vertical="center" wrapText="1"/>
    </xf>
    <xf numFmtId="0" fontId="7" fillId="19" borderId="8" xfId="0" applyFont="1" applyFill="1" applyBorder="1" applyAlignment="1">
      <alignment horizontal="center" vertical="center" wrapText="1"/>
    </xf>
    <xf numFmtId="9" fontId="7" fillId="16" borderId="29" xfId="1" applyFont="1" applyFill="1" applyBorder="1" applyAlignment="1">
      <alignment horizontal="center" vertical="center" wrapText="1"/>
    </xf>
    <xf numFmtId="0" fontId="7" fillId="16" borderId="0" xfId="0" applyFont="1" applyFill="1" applyAlignment="1">
      <alignment horizontal="center" vertical="center" wrapText="1"/>
    </xf>
    <xf numFmtId="0" fontId="55" fillId="19" borderId="7" xfId="0" applyFont="1" applyFill="1" applyBorder="1" applyAlignment="1">
      <alignment horizontal="center" vertical="center" wrapText="1"/>
    </xf>
    <xf numFmtId="0" fontId="22" fillId="15" borderId="47" xfId="0" applyFont="1" applyFill="1" applyBorder="1" applyAlignment="1">
      <alignment horizontal="center" vertical="center" wrapText="1"/>
    </xf>
    <xf numFmtId="0" fontId="22" fillId="28" borderId="45" xfId="0" applyFont="1" applyFill="1" applyBorder="1" applyAlignment="1">
      <alignment horizontal="left" vertical="center" wrapText="1"/>
    </xf>
    <xf numFmtId="0" fontId="22" fillId="15" borderId="52" xfId="0" applyFont="1" applyFill="1" applyBorder="1" applyAlignment="1">
      <alignment horizontal="center" vertical="center" wrapText="1"/>
    </xf>
    <xf numFmtId="0" fontId="7" fillId="16" borderId="29" xfId="0" applyFont="1" applyFill="1" applyBorder="1" applyAlignment="1">
      <alignment horizontal="center" vertical="center" wrapText="1"/>
    </xf>
    <xf numFmtId="1" fontId="26" fillId="28" borderId="45" xfId="4" applyNumberFormat="1" applyFont="1" applyFill="1" applyBorder="1" applyAlignment="1">
      <alignment horizontal="center" vertical="center"/>
    </xf>
    <xf numFmtId="0" fontId="26" fillId="28" borderId="44" xfId="4" applyFont="1" applyFill="1" applyBorder="1" applyAlignment="1">
      <alignment horizontal="center" vertical="center"/>
    </xf>
    <xf numFmtId="0" fontId="9" fillId="28" borderId="44" xfId="0" applyFont="1" applyFill="1" applyBorder="1" applyAlignment="1">
      <alignment horizontal="left" vertical="center" wrapText="1"/>
    </xf>
    <xf numFmtId="0" fontId="22" fillId="0" borderId="47" xfId="0" applyFont="1" applyBorder="1" applyAlignment="1">
      <alignment horizontal="center" vertical="center" wrapText="1"/>
    </xf>
    <xf numFmtId="0" fontId="8" fillId="9" borderId="0" xfId="0" applyFont="1" applyFill="1" applyAlignment="1">
      <alignment horizontal="center" vertical="center"/>
    </xf>
    <xf numFmtId="0" fontId="33" fillId="19" borderId="8" xfId="0" applyFont="1" applyFill="1" applyBorder="1" applyAlignment="1">
      <alignment horizontal="left" vertical="center"/>
    </xf>
    <xf numFmtId="0" fontId="25" fillId="15" borderId="47" xfId="0" applyFont="1" applyFill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8" fillId="15" borderId="0" xfId="0" applyFont="1" applyFill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 wrapText="1"/>
    </xf>
    <xf numFmtId="0" fontId="25" fillId="9" borderId="8" xfId="0" applyFont="1" applyFill="1" applyBorder="1" applyAlignment="1">
      <alignment horizontal="center" vertical="center" wrapText="1"/>
    </xf>
    <xf numFmtId="0" fontId="8" fillId="9" borderId="44" xfId="0" applyFont="1" applyFill="1" applyBorder="1" applyAlignment="1">
      <alignment horizontal="center"/>
    </xf>
    <xf numFmtId="165" fontId="9" fillId="27" borderId="44" xfId="0" applyNumberFormat="1" applyFont="1" applyFill="1" applyBorder="1" applyAlignment="1">
      <alignment horizontal="center" vertical="center" wrapText="1"/>
    </xf>
    <xf numFmtId="0" fontId="9" fillId="27" borderId="52" xfId="0" applyFont="1" applyFill="1" applyBorder="1" applyAlignment="1">
      <alignment horizontal="center" vertical="center" wrapText="1"/>
    </xf>
    <xf numFmtId="0" fontId="22" fillId="27" borderId="44" xfId="0" applyFont="1" applyFill="1" applyBorder="1" applyAlignment="1">
      <alignment horizontal="center" vertical="center" wrapText="1"/>
    </xf>
    <xf numFmtId="0" fontId="9" fillId="27" borderId="44" xfId="0" applyFont="1" applyFill="1" applyBorder="1" applyAlignment="1">
      <alignment horizontal="center" vertical="center" wrapText="1"/>
    </xf>
    <xf numFmtId="0" fontId="22" fillId="27" borderId="9" xfId="0" applyFont="1" applyFill="1" applyBorder="1" applyAlignment="1">
      <alignment horizontal="center" vertical="center" wrapText="1"/>
    </xf>
    <xf numFmtId="0" fontId="9" fillId="27" borderId="9" xfId="0" applyFont="1" applyFill="1" applyBorder="1" applyAlignment="1">
      <alignment horizontal="center" vertical="center" wrapText="1"/>
    </xf>
    <xf numFmtId="165" fontId="9" fillId="27" borderId="9" xfId="0" applyNumberFormat="1" applyFont="1" applyFill="1" applyBorder="1" applyAlignment="1">
      <alignment horizontal="center" vertical="center" wrapText="1"/>
    </xf>
    <xf numFmtId="0" fontId="9" fillId="27" borderId="53" xfId="0" applyFont="1" applyFill="1" applyBorder="1" applyAlignment="1">
      <alignment horizontal="center" vertical="center" wrapText="1"/>
    </xf>
    <xf numFmtId="0" fontId="9" fillId="27" borderId="12" xfId="0" applyFont="1" applyFill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8" fillId="9" borderId="0" xfId="0" applyFont="1" applyFill="1" applyAlignment="1">
      <alignment horizontal="center" vertical="center" wrapText="1"/>
    </xf>
    <xf numFmtId="0" fontId="8" fillId="9" borderId="29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27" borderId="47" xfId="0" applyFont="1" applyFill="1" applyBorder="1" applyAlignment="1">
      <alignment horizontal="center" vertical="center"/>
    </xf>
    <xf numFmtId="0" fontId="9" fillId="28" borderId="45" xfId="0" applyFont="1" applyFill="1" applyBorder="1" applyAlignment="1">
      <alignment horizontal="left" vertical="center" wrapText="1"/>
    </xf>
    <xf numFmtId="0" fontId="26" fillId="27" borderId="45" xfId="4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25" fillId="15" borderId="44" xfId="0" applyFont="1" applyFill="1" applyBorder="1" applyAlignment="1">
      <alignment horizontal="center" vertical="center" wrapText="1"/>
    </xf>
    <xf numFmtId="0" fontId="8" fillId="9" borderId="47" xfId="0" applyFont="1" applyFill="1" applyBorder="1" applyAlignment="1">
      <alignment horizontal="center"/>
    </xf>
    <xf numFmtId="9" fontId="22" fillId="27" borderId="52" xfId="0" applyNumberFormat="1" applyFont="1" applyFill="1" applyBorder="1" applyAlignment="1">
      <alignment horizontal="center" vertical="center"/>
    </xf>
    <xf numFmtId="9" fontId="22" fillId="27" borderId="93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22" fillId="0" borderId="63" xfId="0" applyFont="1" applyBorder="1" applyAlignment="1">
      <alignment horizontal="center" vertical="center" wrapText="1"/>
    </xf>
    <xf numFmtId="0" fontId="22" fillId="27" borderId="52" xfId="0" applyFont="1" applyFill="1" applyBorder="1" applyAlignment="1">
      <alignment horizontal="center" vertical="center"/>
    </xf>
    <xf numFmtId="0" fontId="8" fillId="9" borderId="8" xfId="0" applyFont="1" applyFill="1" applyBorder="1" applyAlignment="1">
      <alignment horizontal="center" vertical="center" wrapText="1"/>
    </xf>
    <xf numFmtId="0" fontId="9" fillId="15" borderId="8" xfId="0" applyFont="1" applyFill="1" applyBorder="1" applyAlignment="1">
      <alignment horizontal="left" vertical="center" wrapText="1"/>
    </xf>
    <xf numFmtId="165" fontId="26" fillId="27" borderId="52" xfId="4" applyNumberFormat="1" applyFont="1" applyFill="1" applyBorder="1" applyAlignment="1">
      <alignment horizontal="center" vertical="center"/>
    </xf>
    <xf numFmtId="165" fontId="26" fillId="27" borderId="8" xfId="4" applyNumberFormat="1" applyFont="1" applyFill="1" applyBorder="1" applyAlignment="1">
      <alignment horizontal="center" vertical="center"/>
    </xf>
    <xf numFmtId="0" fontId="26" fillId="27" borderId="45" xfId="4" applyFont="1" applyFill="1" applyBorder="1" applyAlignment="1">
      <alignment horizontal="center" vertical="center"/>
    </xf>
    <xf numFmtId="0" fontId="26" fillId="27" borderId="63" xfId="4" applyFont="1" applyFill="1" applyBorder="1" applyAlignment="1">
      <alignment horizontal="center" vertical="center"/>
    </xf>
    <xf numFmtId="0" fontId="9" fillId="15" borderId="44" xfId="0" applyFont="1" applyFill="1" applyBorder="1" applyAlignment="1">
      <alignment horizontal="left" vertical="center" wrapText="1"/>
    </xf>
    <xf numFmtId="1" fontId="26" fillId="27" borderId="45" xfId="4" applyNumberFormat="1" applyFont="1" applyFill="1" applyBorder="1" applyAlignment="1">
      <alignment horizontal="center" vertical="center"/>
    </xf>
    <xf numFmtId="0" fontId="57" fillId="27" borderId="0" xfId="0" applyFont="1" applyFill="1" applyAlignment="1">
      <alignment horizontal="center" vertical="center" wrapText="1"/>
    </xf>
    <xf numFmtId="0" fontId="0" fillId="27" borderId="0" xfId="0" applyFill="1"/>
    <xf numFmtId="165" fontId="26" fillId="27" borderId="47" xfId="4" applyNumberFormat="1" applyFont="1" applyFill="1" applyBorder="1" applyAlignment="1">
      <alignment horizontal="center" vertical="center"/>
    </xf>
    <xf numFmtId="165" fontId="26" fillId="27" borderId="44" xfId="4" applyNumberFormat="1" applyFont="1" applyFill="1" applyBorder="1" applyAlignment="1">
      <alignment horizontal="center" vertical="center"/>
    </xf>
    <xf numFmtId="0" fontId="9" fillId="28" borderId="62" xfId="0" applyFont="1" applyFill="1" applyBorder="1" applyAlignment="1">
      <alignment horizontal="left" vertical="center" wrapText="1"/>
    </xf>
    <xf numFmtId="165" fontId="26" fillId="28" borderId="45" xfId="4" applyNumberFormat="1" applyFont="1" applyFill="1" applyBorder="1" applyAlignment="1">
      <alignment horizontal="center" vertical="center"/>
    </xf>
    <xf numFmtId="0" fontId="26" fillId="28" borderId="45" xfId="4" applyFont="1" applyFill="1" applyBorder="1" applyAlignment="1">
      <alignment horizontal="center" vertical="center"/>
    </xf>
    <xf numFmtId="165" fontId="26" fillId="28" borderId="62" xfId="4" applyNumberFormat="1" applyFont="1" applyFill="1" applyBorder="1" applyAlignment="1">
      <alignment horizontal="center" vertical="center"/>
    </xf>
    <xf numFmtId="1" fontId="26" fillId="28" borderId="62" xfId="4" applyNumberFormat="1" applyFont="1" applyFill="1" applyBorder="1" applyAlignment="1">
      <alignment horizontal="center" vertical="center"/>
    </xf>
    <xf numFmtId="0" fontId="26" fillId="27" borderId="47" xfId="0" applyFont="1" applyFill="1" applyBorder="1" applyAlignment="1">
      <alignment horizontal="center"/>
    </xf>
    <xf numFmtId="0" fontId="27" fillId="27" borderId="45" xfId="0" applyFont="1" applyFill="1" applyBorder="1" applyAlignment="1">
      <alignment horizontal="center" vertical="center" wrapText="1"/>
    </xf>
    <xf numFmtId="0" fontId="19" fillId="27" borderId="45" xfId="0" applyFont="1" applyFill="1" applyBorder="1" applyAlignment="1">
      <alignment horizontal="center"/>
    </xf>
    <xf numFmtId="0" fontId="26" fillId="27" borderId="44" xfId="0" applyFont="1" applyFill="1" applyBorder="1" applyAlignment="1">
      <alignment horizontal="center"/>
    </xf>
    <xf numFmtId="0" fontId="26" fillId="27" borderId="45" xfId="0" applyFont="1" applyFill="1" applyBorder="1" applyAlignment="1">
      <alignment horizontal="center"/>
    </xf>
    <xf numFmtId="2" fontId="22" fillId="27" borderId="81" xfId="0" applyNumberFormat="1" applyFont="1" applyFill="1" applyBorder="1" applyAlignment="1">
      <alignment horizontal="center" vertical="center"/>
    </xf>
    <xf numFmtId="2" fontId="19" fillId="27" borderId="45" xfId="4" applyNumberFormat="1" applyFont="1" applyFill="1" applyBorder="1" applyAlignment="1">
      <alignment horizontal="center" vertical="center"/>
    </xf>
    <xf numFmtId="2" fontId="19" fillId="27" borderId="47" xfId="4" applyNumberFormat="1" applyFont="1" applyFill="1" applyBorder="1" applyAlignment="1">
      <alignment horizontal="center" vertical="center"/>
    </xf>
    <xf numFmtId="2" fontId="19" fillId="0" borderId="45" xfId="4" applyNumberFormat="1" applyFont="1" applyFill="1" applyBorder="1" applyAlignment="1">
      <alignment horizontal="center" vertical="center"/>
    </xf>
    <xf numFmtId="2" fontId="25" fillId="27" borderId="8" xfId="0" applyNumberFormat="1" applyFont="1" applyFill="1" applyBorder="1" applyAlignment="1">
      <alignment horizontal="center" vertical="center" wrapText="1"/>
    </xf>
    <xf numFmtId="2" fontId="19" fillId="27" borderId="99" xfId="4" applyNumberFormat="1" applyFont="1" applyFill="1" applyBorder="1" applyAlignment="1">
      <alignment horizontal="center" vertical="center"/>
    </xf>
    <xf numFmtId="0" fontId="7" fillId="11" borderId="0" xfId="0" applyFont="1" applyFill="1" applyAlignment="1">
      <alignment horizontal="left" vertical="center" wrapText="1"/>
    </xf>
    <xf numFmtId="2" fontId="26" fillId="27" borderId="44" xfId="4" applyNumberFormat="1" applyFont="1" applyFill="1" applyBorder="1" applyAlignment="1">
      <alignment horizontal="center" vertical="center"/>
    </xf>
    <xf numFmtId="0" fontId="19" fillId="15" borderId="45" xfId="0" applyFont="1" applyFill="1" applyBorder="1" applyAlignment="1">
      <alignment vertical="center" wrapText="1"/>
    </xf>
    <xf numFmtId="2" fontId="19" fillId="0" borderId="63" xfId="4" applyNumberFormat="1" applyFont="1" applyFill="1" applyBorder="1" applyAlignment="1">
      <alignment horizontal="center" vertical="center"/>
    </xf>
    <xf numFmtId="2" fontId="19" fillId="0" borderId="47" xfId="4" applyNumberFormat="1" applyFont="1" applyFill="1" applyBorder="1" applyAlignment="1">
      <alignment horizontal="center" vertical="center"/>
    </xf>
    <xf numFmtId="2" fontId="22" fillId="0" borderId="91" xfId="0" applyNumberFormat="1" applyFont="1" applyBorder="1" applyAlignment="1">
      <alignment horizontal="center" vertical="center"/>
    </xf>
    <xf numFmtId="2" fontId="22" fillId="0" borderId="80" xfId="0" applyNumberFormat="1" applyFont="1" applyBorder="1" applyAlignment="1">
      <alignment horizontal="center" vertical="center"/>
    </xf>
    <xf numFmtId="2" fontId="26" fillId="27" borderId="52" xfId="0" applyNumberFormat="1" applyFont="1" applyFill="1" applyBorder="1" applyAlignment="1">
      <alignment horizontal="center" vertical="center" wrapText="1"/>
    </xf>
    <xf numFmtId="2" fontId="22" fillId="0" borderId="81" xfId="0" applyNumberFormat="1" applyFont="1" applyBorder="1" applyAlignment="1">
      <alignment horizontal="center" vertical="center"/>
    </xf>
    <xf numFmtId="0" fontId="19" fillId="15" borderId="47" xfId="0" applyFont="1" applyFill="1" applyBorder="1" applyAlignment="1">
      <alignment vertical="center" wrapText="1"/>
    </xf>
    <xf numFmtId="2" fontId="19" fillId="0" borderId="52" xfId="4" applyNumberFormat="1" applyFont="1" applyFill="1" applyBorder="1" applyAlignment="1">
      <alignment horizontal="center" vertical="center"/>
    </xf>
    <xf numFmtId="10" fontId="22" fillId="0" borderId="47" xfId="1" applyNumberFormat="1" applyFont="1" applyFill="1" applyBorder="1" applyAlignment="1">
      <alignment horizontal="center"/>
    </xf>
    <xf numFmtId="10" fontId="22" fillId="0" borderId="52" xfId="1" applyNumberFormat="1" applyFont="1" applyFill="1" applyBorder="1" applyAlignment="1">
      <alignment horizontal="center"/>
    </xf>
    <xf numFmtId="0" fontId="7" fillId="16" borderId="7" xfId="0" applyFont="1" applyFill="1" applyBorder="1" applyAlignment="1">
      <alignment horizontal="center" vertical="center" wrapText="1"/>
    </xf>
    <xf numFmtId="2" fontId="19" fillId="0" borderId="44" xfId="4" applyNumberFormat="1" applyFont="1" applyFill="1" applyBorder="1" applyAlignment="1">
      <alignment horizontal="center" vertical="center"/>
    </xf>
    <xf numFmtId="0" fontId="19" fillId="0" borderId="47" xfId="4" applyNumberFormat="1" applyFont="1" applyFill="1" applyBorder="1" applyAlignment="1">
      <alignment horizontal="center" vertical="center"/>
    </xf>
    <xf numFmtId="2" fontId="26" fillId="0" borderId="47" xfId="4" applyNumberFormat="1" applyFont="1" applyFill="1" applyBorder="1" applyAlignment="1">
      <alignment horizontal="center" vertical="center"/>
    </xf>
    <xf numFmtId="0" fontId="9" fillId="15" borderId="63" xfId="0" applyFont="1" applyFill="1" applyBorder="1" applyAlignment="1">
      <alignment horizontal="left" vertical="center" wrapText="1"/>
    </xf>
    <xf numFmtId="0" fontId="19" fillId="0" borderId="44" xfId="4" applyNumberFormat="1" applyFont="1" applyFill="1" applyBorder="1" applyAlignment="1">
      <alignment horizontal="center" vertical="center"/>
    </xf>
    <xf numFmtId="0" fontId="19" fillId="0" borderId="62" xfId="4" applyNumberFormat="1" applyFont="1" applyFill="1" applyBorder="1" applyAlignment="1">
      <alignment horizontal="center" vertical="center"/>
    </xf>
    <xf numFmtId="0" fontId="59" fillId="16" borderId="29" xfId="0" applyFont="1" applyFill="1" applyBorder="1" applyAlignment="1">
      <alignment horizontal="center" vertical="center" wrapText="1"/>
    </xf>
    <xf numFmtId="2" fontId="26" fillId="27" borderId="45" xfId="4" applyNumberFormat="1" applyFont="1" applyFill="1" applyBorder="1" applyAlignment="1">
      <alignment horizontal="center" vertical="center"/>
    </xf>
    <xf numFmtId="0" fontId="19" fillId="15" borderId="62" xfId="0" applyFont="1" applyFill="1" applyBorder="1" applyAlignment="1">
      <alignment horizontal="left" vertical="center" wrapText="1"/>
    </xf>
    <xf numFmtId="0" fontId="7" fillId="14" borderId="41" xfId="0" applyFont="1" applyFill="1" applyBorder="1" applyAlignment="1">
      <alignment horizontal="left" vertical="center" wrapText="1"/>
    </xf>
    <xf numFmtId="0" fontId="7" fillId="14" borderId="0" xfId="0" applyFont="1" applyFill="1" applyAlignment="1">
      <alignment horizontal="left" vertical="center" wrapText="1"/>
    </xf>
    <xf numFmtId="0" fontId="19" fillId="0" borderId="52" xfId="4" applyNumberFormat="1" applyFont="1" applyFill="1" applyBorder="1" applyAlignment="1">
      <alignment horizontal="center" vertical="center"/>
    </xf>
    <xf numFmtId="0" fontId="25" fillId="15" borderId="52" xfId="0" applyFont="1" applyFill="1" applyBorder="1" applyAlignment="1">
      <alignment horizontal="center" vertical="center" wrapText="1"/>
    </xf>
    <xf numFmtId="0" fontId="19" fillId="15" borderId="11" xfId="0" applyFont="1" applyFill="1" applyBorder="1" applyAlignment="1">
      <alignment horizontal="left" vertical="center" wrapText="1"/>
    </xf>
    <xf numFmtId="2" fontId="26" fillId="27" borderId="47" xfId="4" applyNumberFormat="1" applyFont="1" applyFill="1" applyBorder="1" applyAlignment="1">
      <alignment horizontal="center" vertical="center"/>
    </xf>
    <xf numFmtId="2" fontId="22" fillId="27" borderId="98" xfId="0" applyNumberFormat="1" applyFont="1" applyFill="1" applyBorder="1" applyAlignment="1">
      <alignment horizontal="center" vertical="center"/>
    </xf>
    <xf numFmtId="2" fontId="19" fillId="27" borderId="92" xfId="4" applyNumberFormat="1" applyFont="1" applyFill="1" applyBorder="1" applyAlignment="1">
      <alignment horizontal="center" vertical="center"/>
    </xf>
    <xf numFmtId="165" fontId="26" fillId="27" borderId="95" xfId="4" applyNumberFormat="1" applyFont="1" applyFill="1" applyBorder="1" applyAlignment="1">
      <alignment horizontal="center" vertical="center"/>
    </xf>
    <xf numFmtId="2" fontId="19" fillId="27" borderId="44" xfId="4" applyNumberFormat="1" applyFont="1" applyFill="1" applyBorder="1" applyAlignment="1">
      <alignment horizontal="center" vertical="center"/>
    </xf>
    <xf numFmtId="1" fontId="26" fillId="27" borderId="70" xfId="4" applyNumberFormat="1" applyFont="1" applyFill="1" applyBorder="1" applyAlignment="1">
      <alignment horizontal="center" vertical="center"/>
    </xf>
    <xf numFmtId="0" fontId="55" fillId="19" borderId="6" xfId="0" applyFont="1" applyFill="1" applyBorder="1" applyAlignment="1">
      <alignment horizontal="center" vertical="center" wrapText="1"/>
    </xf>
    <xf numFmtId="165" fontId="26" fillId="27" borderId="96" xfId="4" applyNumberFormat="1" applyFont="1" applyFill="1" applyBorder="1" applyAlignment="1">
      <alignment horizontal="center" vertical="center"/>
    </xf>
    <xf numFmtId="1" fontId="26" fillId="27" borderId="44" xfId="4" applyNumberFormat="1" applyFont="1" applyFill="1" applyBorder="1" applyAlignment="1">
      <alignment horizontal="center" vertical="center"/>
    </xf>
    <xf numFmtId="1" fontId="26" fillId="27" borderId="95" xfId="4" applyNumberFormat="1" applyFont="1" applyFill="1" applyBorder="1" applyAlignment="1">
      <alignment horizontal="center" vertical="center"/>
    </xf>
    <xf numFmtId="0" fontId="59" fillId="16" borderId="7" xfId="0" applyFont="1" applyFill="1" applyBorder="1" applyAlignment="1">
      <alignment horizontal="center" vertical="center" wrapText="1"/>
    </xf>
    <xf numFmtId="0" fontId="33" fillId="19" borderId="8" xfId="0" applyFont="1" applyFill="1" applyBorder="1" applyAlignment="1">
      <alignment horizontal="center"/>
    </xf>
    <xf numFmtId="0" fontId="33" fillId="19" borderId="52" xfId="0" applyFont="1" applyFill="1" applyBorder="1" applyAlignment="1">
      <alignment horizontal="center"/>
    </xf>
    <xf numFmtId="0" fontId="7" fillId="13" borderId="8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33" fillId="11" borderId="0" xfId="0" applyFont="1" applyFill="1" applyAlignment="1">
      <alignment horizontal="left" vertical="center"/>
    </xf>
    <xf numFmtId="0" fontId="33" fillId="11" borderId="29" xfId="0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1" fontId="26" fillId="27" borderId="52" xfId="4" applyNumberFormat="1" applyFont="1" applyFill="1" applyBorder="1" applyAlignment="1">
      <alignment horizontal="center" vertical="center"/>
    </xf>
    <xf numFmtId="1" fontId="26" fillId="27" borderId="96" xfId="4" applyNumberFormat="1" applyFont="1" applyFill="1" applyBorder="1" applyAlignment="1">
      <alignment horizontal="center" vertical="center"/>
    </xf>
    <xf numFmtId="0" fontId="19" fillId="9" borderId="8" xfId="0" applyFont="1" applyFill="1" applyBorder="1" applyAlignment="1">
      <alignment horizontal="left" vertical="center" wrapText="1"/>
    </xf>
    <xf numFmtId="0" fontId="25" fillId="8" borderId="9" xfId="0" applyFont="1" applyFill="1" applyBorder="1" applyAlignment="1">
      <alignment horizontal="center" vertical="center" wrapText="1"/>
    </xf>
    <xf numFmtId="0" fontId="25" fillId="8" borderId="0" xfId="0" applyFont="1" applyFill="1" applyAlignment="1">
      <alignment horizontal="center" vertical="center" wrapText="1"/>
    </xf>
    <xf numFmtId="0" fontId="25" fillId="8" borderId="8" xfId="0" applyFont="1" applyFill="1" applyBorder="1" applyAlignment="1">
      <alignment horizontal="center" vertical="center" wrapText="1"/>
    </xf>
    <xf numFmtId="0" fontId="25" fillId="15" borderId="47" xfId="0" applyFont="1" applyFill="1" applyBorder="1" applyAlignment="1">
      <alignment horizontal="left" vertical="center" wrapText="1"/>
    </xf>
    <xf numFmtId="0" fontId="25" fillId="15" borderId="8" xfId="0" applyFont="1" applyFill="1" applyBorder="1" applyAlignment="1">
      <alignment horizontal="left" vertical="center" wrapText="1"/>
    </xf>
    <xf numFmtId="0" fontId="25" fillId="8" borderId="2" xfId="0" applyFont="1" applyFill="1" applyBorder="1" applyAlignment="1">
      <alignment horizontal="center" vertical="center" wrapText="1"/>
    </xf>
    <xf numFmtId="0" fontId="33" fillId="19" borderId="0" xfId="0" applyFont="1" applyFill="1" applyAlignment="1">
      <alignment horizontal="center" vertical="center"/>
    </xf>
    <xf numFmtId="0" fontId="33" fillId="19" borderId="47" xfId="0" applyFont="1" applyFill="1" applyBorder="1" applyAlignment="1">
      <alignment horizontal="center" vertical="center"/>
    </xf>
    <xf numFmtId="0" fontId="19" fillId="0" borderId="11" xfId="4" applyNumberFormat="1" applyFont="1" applyFill="1" applyBorder="1" applyAlignment="1">
      <alignment horizontal="center" vertical="center"/>
    </xf>
    <xf numFmtId="0" fontId="26" fillId="19" borderId="0" xfId="0" applyFont="1" applyFill="1" applyAlignment="1">
      <alignment horizontal="center" vertical="center"/>
    </xf>
    <xf numFmtId="0" fontId="26" fillId="19" borderId="47" xfId="0" applyFont="1" applyFill="1" applyBorder="1" applyAlignment="1">
      <alignment horizontal="center" vertical="center"/>
    </xf>
    <xf numFmtId="0" fontId="19" fillId="15" borderId="52" xfId="0" applyFont="1" applyFill="1" applyBorder="1" applyAlignment="1">
      <alignment horizontal="left" vertical="center" wrapText="1"/>
    </xf>
    <xf numFmtId="0" fontId="19" fillId="0" borderId="45" xfId="4" applyNumberFormat="1" applyFont="1" applyFill="1" applyBorder="1" applyAlignment="1">
      <alignment horizontal="center" vertical="center"/>
    </xf>
    <xf numFmtId="10" fontId="19" fillId="0" borderId="11" xfId="1" applyNumberFormat="1" applyFont="1" applyFill="1" applyBorder="1" applyAlignment="1">
      <alignment horizontal="center" vertical="center" wrapText="1"/>
    </xf>
    <xf numFmtId="10" fontId="19" fillId="0" borderId="97" xfId="1" applyNumberFormat="1" applyFont="1" applyFill="1" applyBorder="1" applyAlignment="1">
      <alignment horizontal="center" vertical="center" wrapText="1"/>
    </xf>
    <xf numFmtId="0" fontId="33" fillId="14" borderId="32" xfId="0" applyFont="1" applyFill="1" applyBorder="1" applyAlignment="1">
      <alignment horizontal="center" vertical="center" wrapText="1"/>
    </xf>
    <xf numFmtId="0" fontId="33" fillId="14" borderId="2" xfId="0" applyFont="1" applyFill="1" applyBorder="1" applyAlignment="1">
      <alignment horizontal="center" vertical="center" wrapText="1"/>
    </xf>
    <xf numFmtId="0" fontId="33" fillId="14" borderId="41" xfId="0" applyFont="1" applyFill="1" applyBorder="1" applyAlignment="1">
      <alignment horizontal="center" vertical="center" wrapText="1"/>
    </xf>
    <xf numFmtId="0" fontId="33" fillId="14" borderId="0" xfId="0" applyFont="1" applyFill="1" applyAlignment="1">
      <alignment horizontal="center" vertical="center" wrapText="1"/>
    </xf>
    <xf numFmtId="0" fontId="22" fillId="15" borderId="8" xfId="0" applyFont="1" applyFill="1" applyBorder="1" applyAlignment="1">
      <alignment horizontal="left" vertical="center" wrapText="1"/>
    </xf>
    <xf numFmtId="0" fontId="33" fillId="14" borderId="41" xfId="0" applyFont="1" applyFill="1" applyBorder="1" applyAlignment="1">
      <alignment horizontal="left" vertical="center" wrapText="1"/>
    </xf>
    <xf numFmtId="0" fontId="33" fillId="14" borderId="0" xfId="0" applyFont="1" applyFill="1" applyAlignment="1">
      <alignment horizontal="left" vertical="center" wrapText="1"/>
    </xf>
    <xf numFmtId="0" fontId="7" fillId="16" borderId="30" xfId="0" applyFont="1" applyFill="1" applyBorder="1" applyAlignment="1">
      <alignment horizontal="center" vertical="center" wrapText="1"/>
    </xf>
    <xf numFmtId="10" fontId="19" fillId="0" borderId="11" xfId="4" applyNumberFormat="1" applyFont="1" applyFill="1" applyBorder="1" applyAlignment="1">
      <alignment horizontal="center" vertical="center" wrapText="1"/>
    </xf>
    <xf numFmtId="0" fontId="19" fillId="0" borderId="11" xfId="4" applyNumberFormat="1" applyFont="1" applyFill="1" applyBorder="1" applyAlignment="1">
      <alignment horizontal="center" vertical="center" wrapText="1"/>
    </xf>
    <xf numFmtId="10" fontId="19" fillId="0" borderId="8" xfId="4" applyNumberFormat="1" applyFont="1" applyFill="1" applyBorder="1" applyAlignment="1">
      <alignment horizontal="center" vertical="center" wrapText="1"/>
    </xf>
    <xf numFmtId="0" fontId="19" fillId="0" borderId="8" xfId="4" applyNumberFormat="1" applyFont="1" applyFill="1" applyBorder="1" applyAlignment="1">
      <alignment horizontal="center" vertical="center" wrapText="1"/>
    </xf>
    <xf numFmtId="10" fontId="19" fillId="0" borderId="97" xfId="4" applyNumberFormat="1" applyFont="1" applyFill="1" applyBorder="1" applyAlignment="1">
      <alignment horizontal="center" vertical="center" wrapText="1"/>
    </xf>
    <xf numFmtId="0" fontId="19" fillId="0" borderId="97" xfId="4" applyNumberFormat="1" applyFont="1" applyFill="1" applyBorder="1" applyAlignment="1">
      <alignment horizontal="center" vertical="center" wrapText="1"/>
    </xf>
    <xf numFmtId="0" fontId="33" fillId="11" borderId="41" xfId="0" applyFont="1" applyFill="1" applyBorder="1" applyAlignment="1">
      <alignment horizontal="left"/>
    </xf>
    <xf numFmtId="0" fontId="33" fillId="11" borderId="0" xfId="0" applyFont="1" applyFill="1" applyAlignment="1">
      <alignment horizontal="left"/>
    </xf>
    <xf numFmtId="0" fontId="7" fillId="16" borderId="41" xfId="0" applyFont="1" applyFill="1" applyBorder="1" applyAlignment="1">
      <alignment horizontal="center" vertical="center" wrapText="1"/>
    </xf>
    <xf numFmtId="0" fontId="22" fillId="15" borderId="45" xfId="0" applyFont="1" applyFill="1" applyBorder="1" applyAlignment="1">
      <alignment horizontal="center"/>
    </xf>
    <xf numFmtId="2" fontId="26" fillId="0" borderId="45" xfId="4" applyNumberFormat="1" applyFont="1" applyFill="1" applyBorder="1" applyAlignment="1">
      <alignment horizontal="center" vertical="center"/>
    </xf>
    <xf numFmtId="2" fontId="19" fillId="0" borderId="92" xfId="4" applyNumberFormat="1" applyFont="1" applyFill="1" applyBorder="1" applyAlignment="1">
      <alignment horizontal="center" vertical="center"/>
    </xf>
    <xf numFmtId="0" fontId="7" fillId="14" borderId="0" xfId="0" applyFont="1" applyFill="1" applyAlignment="1">
      <alignment horizontal="left" vertical="center"/>
    </xf>
    <xf numFmtId="2" fontId="26" fillId="0" borderId="8" xfId="0" applyNumberFormat="1" applyFont="1" applyBorder="1" applyAlignment="1">
      <alignment horizontal="center" vertical="center" wrapText="1"/>
    </xf>
    <xf numFmtId="0" fontId="25" fillId="8" borderId="9" xfId="0" applyFont="1" applyFill="1" applyBorder="1" applyAlignment="1">
      <alignment horizontal="center" vertical="center"/>
    </xf>
    <xf numFmtId="0" fontId="25" fillId="8" borderId="0" xfId="0" applyFont="1" applyFill="1" applyAlignment="1">
      <alignment horizontal="center" vertical="center"/>
    </xf>
    <xf numFmtId="0" fontId="25" fillId="8" borderId="8" xfId="0" applyFont="1" applyFill="1" applyBorder="1" applyAlignment="1">
      <alignment horizontal="center" vertical="center"/>
    </xf>
    <xf numFmtId="0" fontId="9" fillId="15" borderId="52" xfId="0" applyFont="1" applyFill="1" applyBorder="1" applyAlignment="1">
      <alignment horizontal="left" vertical="center" wrapText="1"/>
    </xf>
    <xf numFmtId="0" fontId="25" fillId="26" borderId="81" xfId="0" applyFont="1" applyFill="1" applyBorder="1" applyAlignment="1">
      <alignment horizontal="left" vertical="center" wrapText="1"/>
    </xf>
    <xf numFmtId="0" fontId="33" fillId="11" borderId="0" xfId="0" applyFont="1" applyFill="1" applyAlignment="1">
      <alignment horizontal="center" vertical="center"/>
    </xf>
    <xf numFmtId="0" fontId="33" fillId="19" borderId="52" xfId="0" applyFont="1" applyFill="1" applyBorder="1" applyAlignment="1">
      <alignment horizontal="left"/>
    </xf>
    <xf numFmtId="0" fontId="25" fillId="0" borderId="0" xfId="2" applyFont="1" applyAlignment="1">
      <alignment horizontal="center" wrapText="1"/>
    </xf>
    <xf numFmtId="0" fontId="25" fillId="19" borderId="13" xfId="2" applyFont="1" applyFill="1" applyBorder="1" applyAlignment="1">
      <alignment horizontal="center" vertical="center" wrapText="1"/>
    </xf>
    <xf numFmtId="0" fontId="25" fillId="19" borderId="14" xfId="2" applyFont="1" applyFill="1" applyBorder="1" applyAlignment="1">
      <alignment horizontal="center" vertical="center" wrapText="1"/>
    </xf>
    <xf numFmtId="0" fontId="25" fillId="19" borderId="15" xfId="2" applyFont="1" applyFill="1" applyBorder="1" applyAlignment="1">
      <alignment horizontal="center" vertical="center" wrapText="1"/>
    </xf>
    <xf numFmtId="0" fontId="25" fillId="20" borderId="13" xfId="0" applyFont="1" applyFill="1" applyBorder="1" applyAlignment="1">
      <alignment horizontal="center" wrapText="1"/>
    </xf>
    <xf numFmtId="0" fontId="25" fillId="20" borderId="14" xfId="0" applyFont="1" applyFill="1" applyBorder="1" applyAlignment="1">
      <alignment horizontal="center" wrapText="1"/>
    </xf>
    <xf numFmtId="0" fontId="25" fillId="20" borderId="15" xfId="0" applyFont="1" applyFill="1" applyBorder="1" applyAlignment="1">
      <alignment horizontal="center" wrapText="1"/>
    </xf>
    <xf numFmtId="0" fontId="25" fillId="20" borderId="19" xfId="0" applyFont="1" applyFill="1" applyBorder="1" applyAlignment="1">
      <alignment horizontal="center" wrapText="1"/>
    </xf>
    <xf numFmtId="0" fontId="25" fillId="20" borderId="9" xfId="0" applyFont="1" applyFill="1" applyBorder="1" applyAlignment="1">
      <alignment horizontal="center" wrapText="1"/>
    </xf>
    <xf numFmtId="0" fontId="25" fillId="20" borderId="20" xfId="0" applyFont="1" applyFill="1" applyBorder="1" applyAlignment="1">
      <alignment horizontal="center" wrapText="1"/>
    </xf>
  </cellXfs>
  <cellStyles count="12">
    <cellStyle name="Bueno" xfId="4" builtinId="26"/>
    <cellStyle name="Excel Built-in Normal 2 2" xfId="11" xr:uid="{00000000-0005-0000-0000-000001000000}"/>
    <cellStyle name="Hipervínculo" xfId="5" builtinId="8"/>
    <cellStyle name="Normal" xfId="0" builtinId="0"/>
    <cellStyle name="Normal 2" xfId="6" xr:uid="{00000000-0005-0000-0000-000004000000}"/>
    <cellStyle name="Normal 2 2" xfId="2" xr:uid="{00000000-0005-0000-0000-000005000000}"/>
    <cellStyle name="Normal 3" xfId="10" xr:uid="{00000000-0005-0000-0000-000006000000}"/>
    <cellStyle name="Normal_Fisioteràpia" xfId="8" xr:uid="{00000000-0005-0000-0000-000007000000}"/>
    <cellStyle name="Normal_Hoja1" xfId="7" xr:uid="{00000000-0005-0000-0000-000008000000}"/>
    <cellStyle name="Normal_Hoja1_1" xfId="9" xr:uid="{00000000-0005-0000-0000-000009000000}"/>
    <cellStyle name="Porcentaje" xfId="1" builtinId="5"/>
    <cellStyle name="Porcentaje 2" xfId="3" xr:uid="{00000000-0005-0000-0000-00000B000000}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7C80"/>
      <color rgb="FFC86664"/>
      <color rgb="FFCCCCFF"/>
      <color rgb="FFFF00FF"/>
      <color rgb="FF943634"/>
      <color rgb="FFD78F8D"/>
      <color rgb="FF990000"/>
      <color rgb="FFA50021"/>
      <color rgb="FF990033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57150</xdr:rowOff>
    </xdr:from>
    <xdr:to>
      <xdr:col>3</xdr:col>
      <xdr:colOff>574040</xdr:colOff>
      <xdr:row>3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57150"/>
          <a:ext cx="2745740" cy="666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3</xdr:col>
      <xdr:colOff>431165</xdr:colOff>
      <xdr:row>3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2745740" cy="666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3</xdr:col>
      <xdr:colOff>485775</xdr:colOff>
      <xdr:row>4</xdr:row>
      <xdr:rowOff>93348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" y="28575"/>
          <a:ext cx="2695575" cy="845823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3</xdr:col>
      <xdr:colOff>459051</xdr:colOff>
      <xdr:row>4</xdr:row>
      <xdr:rowOff>121923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" y="76200"/>
          <a:ext cx="2687901" cy="807723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57150</xdr:rowOff>
    </xdr:from>
    <xdr:to>
      <xdr:col>3</xdr:col>
      <xdr:colOff>295275</xdr:colOff>
      <xdr:row>4</xdr:row>
      <xdr:rowOff>76200</xdr:rowOff>
    </xdr:to>
    <xdr:sp macro="" textlink="">
      <xdr:nvSpPr>
        <xdr:cNvPr id="5121" name="Object 1" hidden="1">
          <a:extLst>
            <a:ext uri="{63B3BB69-23CF-44E3-9099-C40C66FF867C}">
              <a14:compatExt xmlns:a14="http://schemas.microsoft.com/office/drawing/2010/main" spid="_x0000_s5121"/>
            </a:ex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142875</xdr:colOff>
      <xdr:row>0</xdr:row>
      <xdr:rowOff>57150</xdr:rowOff>
    </xdr:from>
    <xdr:to>
      <xdr:col>3</xdr:col>
      <xdr:colOff>295275</xdr:colOff>
      <xdr:row>4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57150"/>
          <a:ext cx="24669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95250</xdr:rowOff>
    </xdr:from>
    <xdr:to>
      <xdr:col>3</xdr:col>
      <xdr:colOff>266700</xdr:colOff>
      <xdr:row>4</xdr:row>
      <xdr:rowOff>104775</xdr:rowOff>
    </xdr:to>
    <xdr:sp macro="" textlink="">
      <xdr:nvSpPr>
        <xdr:cNvPr id="6145" name="Object 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142875</xdr:colOff>
      <xdr:row>0</xdr:row>
      <xdr:rowOff>95250</xdr:rowOff>
    </xdr:from>
    <xdr:to>
      <xdr:col>3</xdr:col>
      <xdr:colOff>266700</xdr:colOff>
      <xdr:row>4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0"/>
          <a:ext cx="2438400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76200</xdr:rowOff>
    </xdr:from>
    <xdr:to>
      <xdr:col>3</xdr:col>
      <xdr:colOff>190500</xdr:colOff>
      <xdr:row>4</xdr:row>
      <xdr:rowOff>9525</xdr:rowOff>
    </xdr:to>
    <xdr:sp macro="" textlink="">
      <xdr:nvSpPr>
        <xdr:cNvPr id="7169" name="Object 1" hidden="1">
          <a:extLst>
            <a:ext uri="{63B3BB69-23CF-44E3-9099-C40C66FF867C}">
              <a14:compatExt xmlns:a14="http://schemas.microsoft.com/office/drawing/2010/main" spid="_x0000_s7169"/>
            </a:ext>
            <a:ext uri="{FF2B5EF4-FFF2-40B4-BE49-F238E27FC236}">
              <a16:creationId xmlns:a16="http://schemas.microsoft.com/office/drawing/2014/main" id="{00000000-0008-0000-0600-000001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76200</xdr:colOff>
      <xdr:row>0</xdr:row>
      <xdr:rowOff>76200</xdr:rowOff>
    </xdr:from>
    <xdr:to>
      <xdr:col>3</xdr:col>
      <xdr:colOff>190500</xdr:colOff>
      <xdr:row>4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2428875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133349</xdr:colOff>
      <xdr:row>877</xdr:row>
      <xdr:rowOff>104775</xdr:rowOff>
    </xdr:from>
    <xdr:to>
      <xdr:col>12</xdr:col>
      <xdr:colOff>777874</xdr:colOff>
      <xdr:row>895</xdr:row>
      <xdr:rowOff>464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4" y="206778225"/>
          <a:ext cx="9839325" cy="3324689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902</xdr:row>
      <xdr:rowOff>0</xdr:rowOff>
    </xdr:from>
    <xdr:to>
      <xdr:col>12</xdr:col>
      <xdr:colOff>762000</xdr:colOff>
      <xdr:row>917</xdr:row>
      <xdr:rowOff>162346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4875" y="211569300"/>
          <a:ext cx="9820275" cy="301984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123825</xdr:rowOff>
    </xdr:from>
    <xdr:to>
      <xdr:col>2</xdr:col>
      <xdr:colOff>901700</xdr:colOff>
      <xdr:row>5</xdr:row>
      <xdr:rowOff>23112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23825"/>
          <a:ext cx="2286000" cy="708912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123825</xdr:rowOff>
    </xdr:from>
    <xdr:to>
      <xdr:col>2</xdr:col>
      <xdr:colOff>1263650</xdr:colOff>
      <xdr:row>4</xdr:row>
      <xdr:rowOff>123825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23825"/>
          <a:ext cx="2139950" cy="647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universitats.gencat.cat/ca/altres_pagines/informe_i_estadistiques/informes_i_estad_pr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rv.cat/ca/universitat/normatives/normativa-mobilitat/" TargetMode="External"/><Relationship Id="rId2" Type="http://schemas.openxmlformats.org/officeDocument/2006/relationships/hyperlink" Target="https://tarragona.euses.cat/professors-euses-tarragona/" TargetMode="External"/><Relationship Id="rId1" Type="http://schemas.openxmlformats.org/officeDocument/2006/relationships/hyperlink" Target="https://moodle.urv.cat/docnet/guia_docent/index.php?centre=codicentre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B7:L118"/>
  <sheetViews>
    <sheetView tabSelected="1" zoomScaleNormal="100" workbookViewId="0">
      <selection activeCell="C58" sqref="C58"/>
    </sheetView>
  </sheetViews>
  <sheetFormatPr baseColWidth="10" defaultColWidth="11.42578125" defaultRowHeight="15" x14ac:dyDescent="0.25"/>
  <cols>
    <col min="5" max="5" width="12" customWidth="1"/>
    <col min="11" max="11" width="12.28515625" customWidth="1"/>
    <col min="18" max="18" width="13.28515625" customWidth="1"/>
    <col min="24" max="24" width="13.7109375" customWidth="1"/>
    <col min="25" max="25" width="19.42578125" customWidth="1"/>
  </cols>
  <sheetData>
    <row r="7" spans="2:10" ht="18" x14ac:dyDescent="0.25">
      <c r="B7" s="1" t="s">
        <v>0</v>
      </c>
    </row>
    <row r="9" spans="2:10" ht="18" x14ac:dyDescent="0.25">
      <c r="B9" s="1" t="s">
        <v>642</v>
      </c>
    </row>
    <row r="10" spans="2:10" ht="13.5" customHeight="1" x14ac:dyDescent="0.25">
      <c r="B10" s="1"/>
    </row>
    <row r="11" spans="2:10" x14ac:dyDescent="0.25">
      <c r="B11" s="668" t="s">
        <v>1</v>
      </c>
      <c r="C11" s="668"/>
      <c r="D11" s="668"/>
      <c r="E11" s="669"/>
      <c r="F11" s="445"/>
      <c r="G11" s="161"/>
      <c r="H11" s="161"/>
      <c r="I11" s="161"/>
      <c r="J11" s="161"/>
    </row>
    <row r="12" spans="2:10" ht="25.5" customHeight="1" x14ac:dyDescent="0.25">
      <c r="B12" s="767" t="s">
        <v>2</v>
      </c>
      <c r="C12" s="767"/>
      <c r="D12" s="767" t="s">
        <v>3</v>
      </c>
      <c r="E12" s="767"/>
      <c r="F12" s="767"/>
      <c r="G12" s="767"/>
      <c r="H12" s="767"/>
      <c r="I12" s="767"/>
    </row>
    <row r="13" spans="2:10" x14ac:dyDescent="0.25">
      <c r="B13" s="771"/>
      <c r="C13" s="771"/>
      <c r="D13" s="163" t="s">
        <v>5</v>
      </c>
      <c r="E13" s="163" t="s">
        <v>6</v>
      </c>
      <c r="F13" s="163" t="s">
        <v>888</v>
      </c>
      <c r="G13" s="163" t="s">
        <v>953</v>
      </c>
      <c r="H13" s="163" t="s">
        <v>1125</v>
      </c>
      <c r="I13" s="163" t="s">
        <v>1229</v>
      </c>
    </row>
    <row r="14" spans="2:10" ht="15.75" customHeight="1" thickBot="1" x14ac:dyDescent="0.3">
      <c r="B14" s="773" t="s">
        <v>7</v>
      </c>
      <c r="C14" s="773"/>
      <c r="D14" s="473">
        <v>99</v>
      </c>
      <c r="E14" s="473">
        <v>108</v>
      </c>
      <c r="F14" s="473">
        <v>136</v>
      </c>
      <c r="G14" s="473">
        <v>146</v>
      </c>
      <c r="H14" s="473">
        <v>158</v>
      </c>
      <c r="I14" s="473">
        <v>155</v>
      </c>
    </row>
    <row r="15" spans="2:10" ht="15" customHeight="1" thickBot="1" x14ac:dyDescent="0.3">
      <c r="B15" s="774" t="s">
        <v>8</v>
      </c>
      <c r="C15" s="774"/>
      <c r="D15" s="666">
        <v>240</v>
      </c>
      <c r="E15" s="666">
        <v>240</v>
      </c>
      <c r="F15" s="666">
        <v>240</v>
      </c>
      <c r="G15" s="666">
        <v>236</v>
      </c>
      <c r="H15" s="666">
        <v>235</v>
      </c>
      <c r="I15" s="666">
        <v>263</v>
      </c>
    </row>
    <row r="16" spans="2:10" ht="15" customHeight="1" x14ac:dyDescent="0.25">
      <c r="B16" s="775" t="s">
        <v>9</v>
      </c>
      <c r="C16" s="775"/>
      <c r="D16" s="667">
        <v>1</v>
      </c>
      <c r="E16" s="667">
        <v>3</v>
      </c>
      <c r="F16" s="667">
        <v>8</v>
      </c>
      <c r="G16" s="667">
        <v>16</v>
      </c>
      <c r="H16" s="667">
        <v>21</v>
      </c>
      <c r="I16" s="667">
        <v>17</v>
      </c>
    </row>
    <row r="17" spans="2:12" ht="15.75" thickBot="1" x14ac:dyDescent="0.3">
      <c r="B17" s="766" t="s">
        <v>11</v>
      </c>
      <c r="C17" s="766"/>
      <c r="D17" s="164">
        <f t="shared" ref="D17:I17" si="0">SUM(D14:D16)</f>
        <v>340</v>
      </c>
      <c r="E17" s="164">
        <f t="shared" si="0"/>
        <v>351</v>
      </c>
      <c r="F17" s="164">
        <f t="shared" si="0"/>
        <v>384</v>
      </c>
      <c r="G17" s="164">
        <f t="shared" si="0"/>
        <v>398</v>
      </c>
      <c r="H17" s="164">
        <f t="shared" si="0"/>
        <v>414</v>
      </c>
      <c r="I17" s="164">
        <f t="shared" si="0"/>
        <v>435</v>
      </c>
    </row>
    <row r="18" spans="2:12" x14ac:dyDescent="0.25">
      <c r="B18" s="3" t="s">
        <v>1922</v>
      </c>
      <c r="C18" s="161"/>
      <c r="D18" s="161"/>
      <c r="E18" s="3"/>
      <c r="F18" s="161"/>
      <c r="G18" s="161"/>
      <c r="H18" s="161"/>
      <c r="I18" s="161"/>
      <c r="J18" s="161"/>
      <c r="L18" s="2"/>
    </row>
    <row r="19" spans="2:12" x14ac:dyDescent="0.25">
      <c r="B19" s="3" t="s">
        <v>12</v>
      </c>
      <c r="C19" s="161"/>
      <c r="D19" s="161"/>
      <c r="F19" s="161"/>
      <c r="G19" s="161"/>
      <c r="H19" s="161"/>
      <c r="I19" s="161"/>
      <c r="J19" s="161"/>
      <c r="L19" s="2"/>
    </row>
    <row r="20" spans="2:12" ht="13.5" customHeight="1" x14ac:dyDescent="0.25">
      <c r="B20" s="161"/>
      <c r="C20" s="161"/>
      <c r="D20" s="161"/>
      <c r="E20" s="161"/>
      <c r="F20" s="161"/>
      <c r="G20" s="161"/>
      <c r="H20" s="161"/>
      <c r="I20" s="161"/>
      <c r="J20" s="161"/>
    </row>
    <row r="21" spans="2:12" ht="13.5" customHeight="1" x14ac:dyDescent="0.25">
      <c r="B21" s="669"/>
      <c r="C21" s="669"/>
      <c r="D21" s="669"/>
      <c r="E21" s="669"/>
      <c r="F21" s="669"/>
      <c r="G21" s="669"/>
      <c r="H21" s="669"/>
      <c r="I21" s="669"/>
      <c r="J21" s="161"/>
    </row>
    <row r="22" spans="2:12" ht="12.75" customHeight="1" x14ac:dyDescent="0.25">
      <c r="B22" s="768" t="s">
        <v>788</v>
      </c>
      <c r="C22" s="768"/>
      <c r="D22" s="768"/>
      <c r="E22" s="768"/>
      <c r="F22" s="768"/>
      <c r="G22" s="768"/>
      <c r="H22" s="768"/>
      <c r="I22" s="768"/>
      <c r="J22" s="161"/>
    </row>
    <row r="23" spans="2:12" ht="15" customHeight="1" x14ac:dyDescent="0.25">
      <c r="B23" s="767" t="s">
        <v>823</v>
      </c>
      <c r="C23" s="767"/>
      <c r="D23" s="767" t="s">
        <v>13</v>
      </c>
      <c r="E23" s="767"/>
      <c r="F23" s="767"/>
      <c r="G23" s="767"/>
      <c r="H23" s="767"/>
      <c r="I23" s="767"/>
    </row>
    <row r="24" spans="2:12" x14ac:dyDescent="0.25">
      <c r="B24" s="771"/>
      <c r="C24" s="771"/>
      <c r="D24" s="163" t="s">
        <v>5</v>
      </c>
      <c r="E24" s="163" t="s">
        <v>6</v>
      </c>
      <c r="F24" s="163" t="s">
        <v>888</v>
      </c>
      <c r="G24" s="163" t="s">
        <v>953</v>
      </c>
      <c r="H24" s="163" t="s">
        <v>1125</v>
      </c>
      <c r="I24" s="163" t="s">
        <v>1229</v>
      </c>
    </row>
    <row r="25" spans="2:12" ht="21" customHeight="1" thickBot="1" x14ac:dyDescent="0.3">
      <c r="B25" s="770" t="s">
        <v>14</v>
      </c>
      <c r="C25" s="770"/>
      <c r="D25" s="202">
        <v>3</v>
      </c>
      <c r="E25" s="202">
        <v>2</v>
      </c>
      <c r="F25" s="202">
        <v>2</v>
      </c>
      <c r="G25" s="202">
        <v>1</v>
      </c>
      <c r="H25" s="202">
        <v>1</v>
      </c>
      <c r="I25" s="666">
        <v>1</v>
      </c>
    </row>
    <row r="26" spans="2:12" ht="21" customHeight="1" thickBot="1" x14ac:dyDescent="0.3">
      <c r="B26" s="769" t="s">
        <v>15</v>
      </c>
      <c r="C26" s="769"/>
      <c r="D26" s="202">
        <v>6</v>
      </c>
      <c r="E26" s="202">
        <v>3</v>
      </c>
      <c r="F26" s="202">
        <v>2</v>
      </c>
      <c r="G26" s="202">
        <v>1</v>
      </c>
      <c r="H26" s="202">
        <v>0</v>
      </c>
      <c r="I26" s="666">
        <v>1</v>
      </c>
    </row>
    <row r="27" spans="2:12" ht="21" customHeight="1" thickBot="1" x14ac:dyDescent="0.3">
      <c r="B27" s="769" t="s">
        <v>16</v>
      </c>
      <c r="C27" s="769"/>
      <c r="D27" s="202">
        <v>8</v>
      </c>
      <c r="E27" s="202">
        <v>5</v>
      </c>
      <c r="F27" s="202">
        <v>3</v>
      </c>
      <c r="G27" s="202">
        <v>0</v>
      </c>
      <c r="H27" s="202">
        <v>0</v>
      </c>
      <c r="I27" s="666">
        <v>1</v>
      </c>
    </row>
    <row r="28" spans="2:12" ht="21" customHeight="1" thickBot="1" x14ac:dyDescent="0.3">
      <c r="B28" s="769" t="s">
        <v>17</v>
      </c>
      <c r="C28" s="769"/>
      <c r="D28" s="202">
        <v>17</v>
      </c>
      <c r="E28" s="202">
        <v>6</v>
      </c>
      <c r="F28" s="202">
        <v>4</v>
      </c>
      <c r="G28" s="202">
        <v>1</v>
      </c>
      <c r="H28" s="202">
        <v>1</v>
      </c>
      <c r="I28" s="666">
        <v>1</v>
      </c>
    </row>
    <row r="29" spans="2:12" ht="21" customHeight="1" thickBot="1" x14ac:dyDescent="0.3">
      <c r="B29" s="769" t="s">
        <v>18</v>
      </c>
      <c r="C29" s="769"/>
      <c r="D29" s="202">
        <v>13</v>
      </c>
      <c r="E29" s="202">
        <v>11</v>
      </c>
      <c r="F29" s="202">
        <v>1</v>
      </c>
      <c r="G29" s="202">
        <v>0</v>
      </c>
      <c r="H29" s="202">
        <v>0</v>
      </c>
      <c r="I29" s="666">
        <v>0</v>
      </c>
    </row>
    <row r="30" spans="2:12" ht="21" customHeight="1" thickBot="1" x14ac:dyDescent="0.3">
      <c r="B30" s="769" t="s">
        <v>19</v>
      </c>
      <c r="C30" s="769"/>
      <c r="D30" s="202">
        <v>17</v>
      </c>
      <c r="E30" s="202">
        <v>15</v>
      </c>
      <c r="F30" s="202">
        <v>13</v>
      </c>
      <c r="G30" s="202">
        <v>3</v>
      </c>
      <c r="H30" s="202">
        <v>2</v>
      </c>
      <c r="I30" s="666">
        <v>2</v>
      </c>
    </row>
    <row r="31" spans="2:12" ht="21" customHeight="1" thickBot="1" x14ac:dyDescent="0.3">
      <c r="B31" s="769" t="s">
        <v>20</v>
      </c>
      <c r="C31" s="769"/>
      <c r="D31" s="202">
        <v>35</v>
      </c>
      <c r="E31" s="202">
        <v>26</v>
      </c>
      <c r="F31" s="202">
        <v>23</v>
      </c>
      <c r="G31" s="202">
        <v>22</v>
      </c>
      <c r="H31" s="202">
        <v>8</v>
      </c>
      <c r="I31" s="666">
        <v>3</v>
      </c>
    </row>
    <row r="32" spans="2:12" ht="21" customHeight="1" thickBot="1" x14ac:dyDescent="0.3">
      <c r="B32" s="764" t="s">
        <v>21</v>
      </c>
      <c r="C32" s="764"/>
      <c r="D32" s="202" t="s">
        <v>10</v>
      </c>
      <c r="E32" s="202">
        <v>40</v>
      </c>
      <c r="F32" s="202">
        <v>33</v>
      </c>
      <c r="G32" s="202">
        <v>24</v>
      </c>
      <c r="H32" s="202">
        <v>23</v>
      </c>
      <c r="I32" s="666">
        <v>8</v>
      </c>
    </row>
    <row r="33" spans="2:10" ht="21" customHeight="1" thickBot="1" x14ac:dyDescent="0.3">
      <c r="B33" s="764" t="s">
        <v>932</v>
      </c>
      <c r="C33" s="764"/>
      <c r="D33" s="202" t="s">
        <v>10</v>
      </c>
      <c r="E33" s="202" t="s">
        <v>10</v>
      </c>
      <c r="F33" s="202">
        <v>55</v>
      </c>
      <c r="G33" s="202">
        <v>39</v>
      </c>
      <c r="H33" s="202">
        <v>23</v>
      </c>
      <c r="I33" s="666">
        <v>23</v>
      </c>
    </row>
    <row r="34" spans="2:10" ht="21" customHeight="1" thickBot="1" x14ac:dyDescent="0.3">
      <c r="B34" s="764" t="s">
        <v>954</v>
      </c>
      <c r="C34" s="764"/>
      <c r="D34" s="202" t="s">
        <v>10</v>
      </c>
      <c r="E34" s="202" t="s">
        <v>10</v>
      </c>
      <c r="F34" s="202" t="s">
        <v>10</v>
      </c>
      <c r="G34" s="202">
        <v>55</v>
      </c>
      <c r="H34" s="202">
        <v>44</v>
      </c>
      <c r="I34" s="666">
        <v>28</v>
      </c>
    </row>
    <row r="35" spans="2:10" ht="21" customHeight="1" thickBot="1" x14ac:dyDescent="0.3">
      <c r="B35" s="764" t="s">
        <v>1126</v>
      </c>
      <c r="C35" s="764"/>
      <c r="D35" s="202" t="s">
        <v>10</v>
      </c>
      <c r="E35" s="202" t="s">
        <v>10</v>
      </c>
      <c r="F35" s="202" t="s">
        <v>10</v>
      </c>
      <c r="G35" s="202" t="s">
        <v>10</v>
      </c>
      <c r="H35" s="202">
        <v>56</v>
      </c>
      <c r="I35" s="666">
        <v>44</v>
      </c>
    </row>
    <row r="36" spans="2:10" ht="21" customHeight="1" thickBot="1" x14ac:dyDescent="0.3">
      <c r="B36" s="764" t="s">
        <v>1228</v>
      </c>
      <c r="C36" s="764"/>
      <c r="D36" s="202" t="s">
        <v>10</v>
      </c>
      <c r="E36" s="202" t="s">
        <v>10</v>
      </c>
      <c r="F36" s="202" t="s">
        <v>10</v>
      </c>
      <c r="G36" s="202" t="s">
        <v>10</v>
      </c>
      <c r="H36" s="202" t="s">
        <v>10</v>
      </c>
      <c r="I36" s="666">
        <v>43</v>
      </c>
      <c r="J36" s="603"/>
    </row>
    <row r="37" spans="2:10" ht="12.75" customHeight="1" thickBot="1" x14ac:dyDescent="0.3">
      <c r="B37" s="766" t="s">
        <v>11</v>
      </c>
      <c r="C37" s="766"/>
      <c r="D37" s="164">
        <f>SUM(D25:D32)</f>
        <v>99</v>
      </c>
      <c r="E37" s="164">
        <f>SUM(E25:E32)</f>
        <v>108</v>
      </c>
      <c r="F37" s="164">
        <f>SUM(F25:F33)</f>
        <v>136</v>
      </c>
      <c r="G37" s="164">
        <f>SUM(G25:G34)</f>
        <v>146</v>
      </c>
      <c r="H37" s="164">
        <f>SUM(H25:H35)</f>
        <v>158</v>
      </c>
      <c r="I37" s="164">
        <f>SUM(I25:I36)</f>
        <v>155</v>
      </c>
    </row>
    <row r="38" spans="2:10" x14ac:dyDescent="0.25">
      <c r="B38" s="3" t="s">
        <v>1922</v>
      </c>
      <c r="C38" s="161"/>
      <c r="D38" s="161"/>
      <c r="E38" s="161"/>
      <c r="F38" s="161"/>
      <c r="G38" s="161"/>
      <c r="H38" s="161"/>
      <c r="I38" s="161"/>
      <c r="J38" s="161"/>
    </row>
    <row r="39" spans="2:10" x14ac:dyDescent="0.25">
      <c r="B39" s="3" t="s">
        <v>12</v>
      </c>
      <c r="C39" s="161"/>
      <c r="D39" s="161"/>
      <c r="E39" s="161"/>
      <c r="F39" s="161"/>
      <c r="G39" s="161"/>
      <c r="H39" s="161"/>
      <c r="I39" s="161"/>
      <c r="J39" s="161"/>
    </row>
    <row r="40" spans="2:10" ht="12.75" customHeight="1" x14ac:dyDescent="0.25">
      <c r="B40" s="161"/>
      <c r="C40" s="161"/>
      <c r="D40" s="161"/>
      <c r="E40" s="161"/>
      <c r="F40" s="161"/>
      <c r="G40" s="161"/>
      <c r="H40" s="161"/>
      <c r="I40" s="161"/>
      <c r="J40" s="161"/>
    </row>
    <row r="41" spans="2:10" ht="12.75" customHeight="1" x14ac:dyDescent="0.25">
      <c r="B41" s="161"/>
      <c r="C41" s="161"/>
      <c r="D41" s="161"/>
      <c r="E41" s="161"/>
      <c r="F41" s="161"/>
      <c r="G41" s="161"/>
      <c r="H41" s="161"/>
      <c r="I41" s="161"/>
      <c r="J41" s="161"/>
    </row>
    <row r="42" spans="2:10" ht="12.75" customHeight="1" x14ac:dyDescent="0.25">
      <c r="B42" s="768" t="s">
        <v>787</v>
      </c>
      <c r="C42" s="768"/>
      <c r="D42" s="768"/>
      <c r="E42" s="768"/>
      <c r="F42" s="768"/>
      <c r="G42" s="768"/>
      <c r="H42" s="768"/>
      <c r="I42" s="768"/>
      <c r="J42" s="161"/>
    </row>
    <row r="43" spans="2:10" ht="15" customHeight="1" x14ac:dyDescent="0.25">
      <c r="B43" s="772" t="s">
        <v>823</v>
      </c>
      <c r="C43" s="772"/>
      <c r="D43" s="767" t="s">
        <v>22</v>
      </c>
      <c r="E43" s="767"/>
      <c r="F43" s="767"/>
      <c r="G43" s="767"/>
      <c r="H43" s="767"/>
      <c r="I43" s="767"/>
    </row>
    <row r="44" spans="2:10" x14ac:dyDescent="0.25">
      <c r="B44" s="771"/>
      <c r="C44" s="771"/>
      <c r="D44" s="163" t="s">
        <v>5</v>
      </c>
      <c r="E44" s="163" t="s">
        <v>6</v>
      </c>
      <c r="F44" s="163" t="s">
        <v>888</v>
      </c>
      <c r="G44" s="163" t="s">
        <v>953</v>
      </c>
      <c r="H44" s="163" t="s">
        <v>1125</v>
      </c>
      <c r="I44" s="163" t="s">
        <v>1229</v>
      </c>
    </row>
    <row r="45" spans="2:10" ht="15.75" thickBot="1" x14ac:dyDescent="0.3">
      <c r="B45" s="770" t="s">
        <v>14</v>
      </c>
      <c r="C45" s="770"/>
      <c r="D45" s="202">
        <v>3</v>
      </c>
      <c r="E45" s="202">
        <v>1</v>
      </c>
      <c r="F45" s="202">
        <v>2</v>
      </c>
      <c r="G45" s="202">
        <v>0</v>
      </c>
      <c r="H45" s="202">
        <v>0</v>
      </c>
      <c r="I45" s="666">
        <v>0</v>
      </c>
    </row>
    <row r="46" spans="2:10" ht="15.75" thickBot="1" x14ac:dyDescent="0.3">
      <c r="B46" s="769" t="s">
        <v>15</v>
      </c>
      <c r="C46" s="769"/>
      <c r="D46" s="202">
        <v>2</v>
      </c>
      <c r="E46" s="202">
        <v>1</v>
      </c>
      <c r="F46" s="202">
        <v>1</v>
      </c>
      <c r="G46" s="202">
        <v>0</v>
      </c>
      <c r="H46" s="202">
        <v>0</v>
      </c>
      <c r="I46" s="666">
        <v>0</v>
      </c>
    </row>
    <row r="47" spans="2:10" ht="15.75" thickBot="1" x14ac:dyDescent="0.3">
      <c r="B47" s="769" t="s">
        <v>16</v>
      </c>
      <c r="C47" s="769"/>
      <c r="D47" s="202">
        <v>22</v>
      </c>
      <c r="E47" s="202">
        <v>7</v>
      </c>
      <c r="F47" s="202">
        <v>2</v>
      </c>
      <c r="G47" s="202">
        <v>1</v>
      </c>
      <c r="H47" s="202">
        <v>1</v>
      </c>
      <c r="I47" s="666">
        <v>1</v>
      </c>
    </row>
    <row r="48" spans="2:10" ht="15.75" thickBot="1" x14ac:dyDescent="0.3">
      <c r="B48" s="769" t="s">
        <v>17</v>
      </c>
      <c r="C48" s="769"/>
      <c r="D48" s="202">
        <v>45</v>
      </c>
      <c r="E48" s="202">
        <v>27</v>
      </c>
      <c r="F48" s="202">
        <v>13</v>
      </c>
      <c r="G48" s="202">
        <v>7</v>
      </c>
      <c r="H48" s="202">
        <v>3</v>
      </c>
      <c r="I48" s="666">
        <v>2</v>
      </c>
    </row>
    <row r="49" spans="2:10" ht="15.75" thickBot="1" x14ac:dyDescent="0.3">
      <c r="B49" s="769" t="s">
        <v>18</v>
      </c>
      <c r="C49" s="769"/>
      <c r="D49" s="202">
        <v>53</v>
      </c>
      <c r="E49" s="202">
        <v>49</v>
      </c>
      <c r="F49" s="202">
        <v>29</v>
      </c>
      <c r="G49" s="202">
        <v>10</v>
      </c>
      <c r="H49" s="202">
        <v>3</v>
      </c>
      <c r="I49" s="666">
        <v>0</v>
      </c>
    </row>
    <row r="50" spans="2:10" ht="15.75" thickBot="1" x14ac:dyDescent="0.3">
      <c r="B50" s="769" t="s">
        <v>19</v>
      </c>
      <c r="C50" s="769"/>
      <c r="D50" s="202">
        <v>52</v>
      </c>
      <c r="E50" s="202">
        <v>42</v>
      </c>
      <c r="F50" s="202">
        <v>41</v>
      </c>
      <c r="G50" s="202">
        <v>11</v>
      </c>
      <c r="H50" s="202">
        <v>2</v>
      </c>
      <c r="I50" s="666">
        <v>0</v>
      </c>
    </row>
    <row r="51" spans="2:10" ht="15.75" thickBot="1" x14ac:dyDescent="0.3">
      <c r="B51" s="769" t="s">
        <v>20</v>
      </c>
      <c r="C51" s="769"/>
      <c r="D51" s="202">
        <v>63</v>
      </c>
      <c r="E51" s="202">
        <v>54</v>
      </c>
      <c r="F51" s="202">
        <v>50</v>
      </c>
      <c r="G51" s="202">
        <v>48</v>
      </c>
      <c r="H51" s="202">
        <v>16</v>
      </c>
      <c r="I51" s="666">
        <v>5</v>
      </c>
    </row>
    <row r="52" spans="2:10" ht="15.75" thickBot="1" x14ac:dyDescent="0.3">
      <c r="B52" s="764" t="s">
        <v>21</v>
      </c>
      <c r="C52" s="764"/>
      <c r="D52" s="202" t="s">
        <v>10</v>
      </c>
      <c r="E52" s="202">
        <v>59</v>
      </c>
      <c r="F52" s="202">
        <v>54</v>
      </c>
      <c r="G52" s="202">
        <v>51</v>
      </c>
      <c r="H52" s="202">
        <v>48</v>
      </c>
      <c r="I52" s="666">
        <v>29</v>
      </c>
    </row>
    <row r="53" spans="2:10" ht="21" customHeight="1" thickBot="1" x14ac:dyDescent="0.3">
      <c r="B53" s="765" t="s">
        <v>932</v>
      </c>
      <c r="C53" s="765"/>
      <c r="D53" s="202" t="s">
        <v>10</v>
      </c>
      <c r="E53" s="202" t="s">
        <v>10</v>
      </c>
      <c r="F53" s="202">
        <v>48</v>
      </c>
      <c r="G53" s="202">
        <v>44</v>
      </c>
      <c r="H53" s="202">
        <v>44</v>
      </c>
      <c r="I53" s="666">
        <v>43</v>
      </c>
    </row>
    <row r="54" spans="2:10" ht="21" customHeight="1" thickBot="1" x14ac:dyDescent="0.3">
      <c r="B54" s="765" t="s">
        <v>954</v>
      </c>
      <c r="C54" s="765"/>
      <c r="D54" s="202" t="s">
        <v>10</v>
      </c>
      <c r="E54" s="202" t="s">
        <v>10</v>
      </c>
      <c r="F54" s="202" t="s">
        <v>10</v>
      </c>
      <c r="G54" s="202">
        <v>64</v>
      </c>
      <c r="H54" s="202">
        <v>57</v>
      </c>
      <c r="I54" s="666">
        <v>53</v>
      </c>
    </row>
    <row r="55" spans="2:10" ht="21" customHeight="1" thickBot="1" x14ac:dyDescent="0.3">
      <c r="B55" s="764" t="s">
        <v>1126</v>
      </c>
      <c r="C55" s="764"/>
      <c r="D55" s="202" t="s">
        <v>10</v>
      </c>
      <c r="E55" s="202" t="s">
        <v>10</v>
      </c>
      <c r="F55" s="202" t="s">
        <v>10</v>
      </c>
      <c r="G55" s="202" t="s">
        <v>10</v>
      </c>
      <c r="H55" s="202">
        <v>61</v>
      </c>
      <c r="I55" s="666">
        <v>55</v>
      </c>
    </row>
    <row r="56" spans="2:10" ht="21" customHeight="1" thickBot="1" x14ac:dyDescent="0.3">
      <c r="B56" s="764" t="s">
        <v>1228</v>
      </c>
      <c r="C56" s="764"/>
      <c r="D56" s="202" t="s">
        <v>10</v>
      </c>
      <c r="E56" s="202" t="s">
        <v>10</v>
      </c>
      <c r="F56" s="202" t="s">
        <v>10</v>
      </c>
      <c r="G56" s="202" t="s">
        <v>10</v>
      </c>
      <c r="H56" s="202" t="s">
        <v>10</v>
      </c>
      <c r="I56" s="666">
        <v>75</v>
      </c>
      <c r="J56" s="603"/>
    </row>
    <row r="57" spans="2:10" ht="15.75" thickBot="1" x14ac:dyDescent="0.3">
      <c r="B57" s="766" t="s">
        <v>11</v>
      </c>
      <c r="C57" s="766"/>
      <c r="D57" s="164">
        <f>SUM(D45:D52)</f>
        <v>240</v>
      </c>
      <c r="E57" s="164">
        <f>SUM(E45:E52)</f>
        <v>240</v>
      </c>
      <c r="F57" s="164">
        <f>SUM(F45:F53)</f>
        <v>240</v>
      </c>
      <c r="G57" s="164">
        <f>SUM(G45:G54)</f>
        <v>236</v>
      </c>
      <c r="H57" s="164">
        <f>SUM(H45:H55)</f>
        <v>235</v>
      </c>
      <c r="I57" s="164">
        <f>SUM(I45:I56)</f>
        <v>263</v>
      </c>
    </row>
    <row r="58" spans="2:10" ht="12.75" customHeight="1" x14ac:dyDescent="0.25">
      <c r="B58" s="3" t="s">
        <v>1922</v>
      </c>
      <c r="C58" s="161"/>
      <c r="D58" s="161"/>
      <c r="E58" s="161"/>
      <c r="F58" s="161"/>
      <c r="G58" s="161"/>
      <c r="H58" s="161"/>
      <c r="I58" s="3"/>
      <c r="J58" s="161"/>
    </row>
    <row r="59" spans="2:10" ht="12.75" customHeight="1" x14ac:dyDescent="0.25">
      <c r="B59" s="3" t="s">
        <v>12</v>
      </c>
      <c r="C59" s="161"/>
      <c r="D59" s="161"/>
      <c r="E59" s="161"/>
      <c r="F59" s="161"/>
      <c r="G59" s="161"/>
      <c r="H59" s="161"/>
      <c r="I59" s="3"/>
      <c r="J59" s="161"/>
    </row>
    <row r="60" spans="2:10" x14ac:dyDescent="0.25">
      <c r="B60" s="161"/>
      <c r="C60" s="161"/>
      <c r="D60" s="161"/>
      <c r="E60" s="161"/>
      <c r="F60" s="161"/>
      <c r="G60" s="161"/>
      <c r="H60" s="161"/>
      <c r="I60" s="3"/>
      <c r="J60" s="161"/>
    </row>
    <row r="61" spans="2:10" x14ac:dyDescent="0.25">
      <c r="B61" s="161"/>
      <c r="C61" s="161"/>
      <c r="D61" s="161"/>
      <c r="E61" s="161"/>
      <c r="F61" s="161"/>
      <c r="G61" s="161"/>
      <c r="H61" s="161"/>
      <c r="I61" s="3"/>
      <c r="J61" s="161"/>
    </row>
    <row r="62" spans="2:10" ht="15" customHeight="1" x14ac:dyDescent="0.25">
      <c r="B62" s="768" t="s">
        <v>789</v>
      </c>
      <c r="C62" s="768"/>
      <c r="D62" s="768"/>
      <c r="E62" s="768"/>
      <c r="F62" s="768"/>
      <c r="G62" s="768"/>
      <c r="H62" s="768"/>
      <c r="I62" s="768"/>
      <c r="J62" s="161"/>
    </row>
    <row r="63" spans="2:10" ht="25.5" customHeight="1" x14ac:dyDescent="0.25">
      <c r="B63" s="777" t="s">
        <v>823</v>
      </c>
      <c r="C63" s="777"/>
      <c r="D63" s="767" t="s">
        <v>824</v>
      </c>
      <c r="E63" s="767"/>
      <c r="F63" s="767"/>
      <c r="G63" s="767"/>
      <c r="H63" s="767"/>
      <c r="I63" s="767"/>
      <c r="J63" s="161"/>
    </row>
    <row r="64" spans="2:10" x14ac:dyDescent="0.25">
      <c r="B64" s="778"/>
      <c r="C64" s="778"/>
      <c r="D64" s="163" t="s">
        <v>5</v>
      </c>
      <c r="E64" s="163" t="s">
        <v>6</v>
      </c>
      <c r="F64" s="163" t="s">
        <v>888</v>
      </c>
      <c r="G64" s="163" t="s">
        <v>953</v>
      </c>
      <c r="H64" s="163" t="s">
        <v>1125</v>
      </c>
      <c r="I64" s="163" t="s">
        <v>1231</v>
      </c>
      <c r="J64" s="161"/>
    </row>
    <row r="65" spans="2:10" ht="15.75" thickBot="1" x14ac:dyDescent="0.3">
      <c r="B65" s="770" t="s">
        <v>1887</v>
      </c>
      <c r="C65" s="770"/>
      <c r="D65" s="202">
        <v>1</v>
      </c>
      <c r="E65" s="202">
        <v>1</v>
      </c>
      <c r="F65" s="202">
        <v>1</v>
      </c>
      <c r="G65" s="202">
        <v>0</v>
      </c>
      <c r="H65" s="202">
        <v>0</v>
      </c>
      <c r="I65" s="666">
        <v>0</v>
      </c>
      <c r="J65" s="161"/>
    </row>
    <row r="66" spans="2:10" ht="15.75" thickBot="1" x14ac:dyDescent="0.3">
      <c r="B66" s="769" t="s">
        <v>1888</v>
      </c>
      <c r="C66" s="769"/>
      <c r="D66" s="202">
        <v>1</v>
      </c>
      <c r="E66" s="202">
        <v>1</v>
      </c>
      <c r="F66" s="202">
        <v>1</v>
      </c>
      <c r="G66" s="202">
        <v>1</v>
      </c>
      <c r="H66" s="202">
        <v>1</v>
      </c>
      <c r="I66" s="666">
        <v>0</v>
      </c>
      <c r="J66" s="161"/>
    </row>
    <row r="67" spans="2:10" ht="15.75" thickBot="1" x14ac:dyDescent="0.3">
      <c r="B67" s="764" t="s">
        <v>1889</v>
      </c>
      <c r="C67" s="764"/>
      <c r="D67" s="202" t="s">
        <v>10</v>
      </c>
      <c r="E67" s="202">
        <v>3</v>
      </c>
      <c r="F67" s="202">
        <v>2</v>
      </c>
      <c r="G67" s="202">
        <v>2</v>
      </c>
      <c r="H67" s="202">
        <v>2</v>
      </c>
      <c r="I67" s="666">
        <v>2</v>
      </c>
      <c r="J67" s="161"/>
    </row>
    <row r="68" spans="2:10" ht="15.75" thickBot="1" x14ac:dyDescent="0.3">
      <c r="B68" s="765" t="s">
        <v>1890</v>
      </c>
      <c r="C68" s="765"/>
      <c r="D68" s="202" t="s">
        <v>10</v>
      </c>
      <c r="E68" s="202" t="s">
        <v>10</v>
      </c>
      <c r="F68" s="202">
        <v>4</v>
      </c>
      <c r="G68" s="202">
        <v>1</v>
      </c>
      <c r="H68" s="202">
        <v>1</v>
      </c>
      <c r="I68" s="666">
        <v>1</v>
      </c>
      <c r="J68" s="161"/>
    </row>
    <row r="69" spans="2:10" ht="15.75" thickBot="1" x14ac:dyDescent="0.3">
      <c r="B69" s="765" t="s">
        <v>1891</v>
      </c>
      <c r="C69" s="765"/>
      <c r="D69" s="202" t="s">
        <v>10</v>
      </c>
      <c r="E69" s="202" t="s">
        <v>10</v>
      </c>
      <c r="F69" s="202" t="s">
        <v>10</v>
      </c>
      <c r="G69" s="202">
        <v>12</v>
      </c>
      <c r="H69" s="202">
        <v>6</v>
      </c>
      <c r="I69" s="666">
        <v>3</v>
      </c>
      <c r="J69" s="161"/>
    </row>
    <row r="70" spans="2:10" ht="21" customHeight="1" thickBot="1" x14ac:dyDescent="0.3">
      <c r="B70" s="764" t="s">
        <v>1892</v>
      </c>
      <c r="C70" s="764"/>
      <c r="D70" s="202" t="s">
        <v>10</v>
      </c>
      <c r="E70" s="202" t="s">
        <v>10</v>
      </c>
      <c r="F70" s="202" t="s">
        <v>10</v>
      </c>
      <c r="G70" s="202" t="s">
        <v>10</v>
      </c>
      <c r="H70" s="202">
        <v>11</v>
      </c>
      <c r="I70" s="666">
        <v>5</v>
      </c>
    </row>
    <row r="71" spans="2:10" ht="21" customHeight="1" thickBot="1" x14ac:dyDescent="0.3">
      <c r="B71" s="764" t="s">
        <v>1893</v>
      </c>
      <c r="C71" s="764"/>
      <c r="D71" s="202" t="s">
        <v>10</v>
      </c>
      <c r="E71" s="202" t="s">
        <v>10</v>
      </c>
      <c r="F71" s="202" t="s">
        <v>10</v>
      </c>
      <c r="G71" s="202" t="s">
        <v>10</v>
      </c>
      <c r="H71" s="202" t="s">
        <v>10</v>
      </c>
      <c r="I71" s="666">
        <v>6</v>
      </c>
      <c r="J71" s="603"/>
    </row>
    <row r="72" spans="2:10" ht="15.75" thickBot="1" x14ac:dyDescent="0.3">
      <c r="B72" s="766" t="s">
        <v>11</v>
      </c>
      <c r="C72" s="766"/>
      <c r="D72" s="164">
        <f>SUM(D65:D67)</f>
        <v>2</v>
      </c>
      <c r="E72" s="164">
        <f>SUM(E65:E67)</f>
        <v>5</v>
      </c>
      <c r="F72" s="164">
        <f>SUM(F65:F68)</f>
        <v>8</v>
      </c>
      <c r="G72" s="164">
        <f>SUM(G65:G69)</f>
        <v>16</v>
      </c>
      <c r="H72" s="164">
        <f>SUM(H65:H70)</f>
        <v>21</v>
      </c>
      <c r="I72" s="164">
        <f>SUM(I65:I71)</f>
        <v>17</v>
      </c>
      <c r="J72" s="161"/>
    </row>
    <row r="73" spans="2:10" x14ac:dyDescent="0.25">
      <c r="B73" s="3" t="s">
        <v>1922</v>
      </c>
      <c r="C73" s="161"/>
      <c r="D73" s="161"/>
      <c r="E73" s="161"/>
      <c r="F73" s="161"/>
      <c r="G73" s="161"/>
      <c r="H73" s="161"/>
      <c r="I73" s="3"/>
      <c r="J73" s="161"/>
    </row>
    <row r="74" spans="2:10" x14ac:dyDescent="0.25">
      <c r="B74" s="3" t="s">
        <v>12</v>
      </c>
      <c r="C74" s="161"/>
      <c r="D74" s="161"/>
      <c r="E74" s="161"/>
      <c r="F74" s="161"/>
      <c r="G74" s="161"/>
      <c r="H74" s="161"/>
      <c r="I74" s="3"/>
      <c r="J74" s="161"/>
    </row>
    <row r="75" spans="2:10" x14ac:dyDescent="0.25">
      <c r="B75" s="161"/>
      <c r="C75" s="161"/>
      <c r="D75" s="161"/>
      <c r="E75" s="161"/>
      <c r="F75" s="161"/>
      <c r="G75" s="161"/>
      <c r="H75" s="161"/>
      <c r="I75" s="3"/>
      <c r="J75" s="161"/>
    </row>
    <row r="76" spans="2:10" x14ac:dyDescent="0.25">
      <c r="B76" s="161"/>
      <c r="C76" s="161"/>
      <c r="D76" s="161"/>
      <c r="E76" s="161"/>
      <c r="F76" s="161"/>
      <c r="G76" s="161"/>
      <c r="H76" s="161"/>
      <c r="I76" s="3"/>
      <c r="J76" s="161"/>
    </row>
    <row r="77" spans="2:10" ht="15" customHeight="1" x14ac:dyDescent="0.25">
      <c r="B77" s="768" t="s">
        <v>24</v>
      </c>
      <c r="C77" s="768"/>
      <c r="D77" s="768"/>
      <c r="E77" s="768"/>
      <c r="F77" s="768"/>
      <c r="G77" s="768"/>
      <c r="H77" s="768"/>
      <c r="I77" s="768"/>
      <c r="J77" s="161"/>
    </row>
    <row r="78" spans="2:10" ht="15" customHeight="1" x14ac:dyDescent="0.25">
      <c r="B78" s="767" t="s">
        <v>2</v>
      </c>
      <c r="C78" s="767"/>
      <c r="D78" s="767" t="s">
        <v>825</v>
      </c>
      <c r="E78" s="767"/>
      <c r="F78" s="767"/>
      <c r="G78" s="767"/>
      <c r="H78" s="767"/>
      <c r="I78" s="767"/>
    </row>
    <row r="79" spans="2:10" ht="21.75" customHeight="1" x14ac:dyDescent="0.25">
      <c r="B79" s="771"/>
      <c r="C79" s="771"/>
      <c r="D79" s="163" t="s">
        <v>5</v>
      </c>
      <c r="E79" s="163" t="s">
        <v>6</v>
      </c>
      <c r="F79" s="163" t="s">
        <v>888</v>
      </c>
      <c r="G79" s="163" t="s">
        <v>953</v>
      </c>
      <c r="H79" s="163" t="s">
        <v>1125</v>
      </c>
      <c r="I79" s="163" t="s">
        <v>1229</v>
      </c>
    </row>
    <row r="80" spans="2:10" ht="18.75" customHeight="1" thickBot="1" x14ac:dyDescent="0.3">
      <c r="B80" s="773" t="s">
        <v>7</v>
      </c>
      <c r="C80" s="773"/>
      <c r="D80" s="202">
        <v>14</v>
      </c>
      <c r="E80" s="202">
        <v>16</v>
      </c>
      <c r="F80" s="202">
        <v>15</v>
      </c>
      <c r="G80" s="202">
        <v>17</v>
      </c>
      <c r="H80" s="202">
        <v>18</v>
      </c>
      <c r="I80" s="666">
        <v>17</v>
      </c>
    </row>
    <row r="81" spans="2:10" ht="15.75" thickBot="1" x14ac:dyDescent="0.3">
      <c r="B81" s="774" t="s">
        <v>8</v>
      </c>
      <c r="C81" s="774"/>
      <c r="D81" s="202">
        <v>31</v>
      </c>
      <c r="E81" s="202">
        <v>33</v>
      </c>
      <c r="F81" s="202">
        <v>60</v>
      </c>
      <c r="G81" s="202">
        <v>48</v>
      </c>
      <c r="H81" s="202">
        <v>35</v>
      </c>
      <c r="I81" s="666">
        <v>43</v>
      </c>
    </row>
    <row r="82" spans="2:10" ht="15.75" customHeight="1" thickBot="1" x14ac:dyDescent="0.3">
      <c r="B82" s="774" t="s">
        <v>9</v>
      </c>
      <c r="C82" s="774"/>
      <c r="D82" s="202" t="s">
        <v>10</v>
      </c>
      <c r="E82" s="202" t="s">
        <v>10</v>
      </c>
      <c r="F82" s="202">
        <v>1</v>
      </c>
      <c r="G82" s="202">
        <v>0</v>
      </c>
      <c r="H82" s="202">
        <v>1</v>
      </c>
      <c r="I82" s="666">
        <v>0</v>
      </c>
    </row>
    <row r="83" spans="2:10" ht="15.75" thickBot="1" x14ac:dyDescent="0.3">
      <c r="B83" s="780" t="s">
        <v>11</v>
      </c>
      <c r="C83" s="780"/>
      <c r="D83" s="164">
        <f>SUM(D80:D81)</f>
        <v>45</v>
      </c>
      <c r="E83" s="164">
        <f>SUM(E80:E81)</f>
        <v>49</v>
      </c>
      <c r="F83" s="164">
        <f>SUM(F80:F82:F81)</f>
        <v>76</v>
      </c>
      <c r="G83" s="164">
        <f>SUM(G80:G82:G81)</f>
        <v>65</v>
      </c>
      <c r="H83" s="164">
        <f>SUM(H80:H82)</f>
        <v>54</v>
      </c>
      <c r="I83" s="164">
        <f>SUM(I80:I82)</f>
        <v>60</v>
      </c>
    </row>
    <row r="84" spans="2:10" x14ac:dyDescent="0.25">
      <c r="B84" s="3" t="s">
        <v>1922</v>
      </c>
      <c r="C84" s="4"/>
      <c r="D84" s="161"/>
      <c r="E84" s="3"/>
      <c r="F84" s="161"/>
      <c r="G84" s="161"/>
      <c r="H84" s="161"/>
      <c r="I84" s="3"/>
      <c r="J84" s="161"/>
    </row>
    <row r="85" spans="2:10" ht="15.75" customHeight="1" x14ac:dyDescent="0.25">
      <c r="B85" s="3" t="s">
        <v>12</v>
      </c>
      <c r="C85" s="3"/>
      <c r="D85" s="3"/>
      <c r="E85" s="3"/>
      <c r="F85" s="161"/>
      <c r="G85" s="161"/>
      <c r="H85" s="161"/>
      <c r="I85" s="3"/>
      <c r="J85" s="161"/>
    </row>
    <row r="86" spans="2:10" x14ac:dyDescent="0.25">
      <c r="B86" s="161"/>
      <c r="C86" s="161"/>
      <c r="D86" s="161"/>
      <c r="E86" s="161"/>
      <c r="F86" s="161"/>
      <c r="G86" s="161"/>
      <c r="H86" s="161"/>
      <c r="I86" s="161"/>
      <c r="J86" s="161"/>
    </row>
    <row r="87" spans="2:10" x14ac:dyDescent="0.25">
      <c r="B87" s="161"/>
      <c r="C87" s="161"/>
      <c r="D87" s="161"/>
      <c r="E87" s="161"/>
      <c r="F87" s="161"/>
      <c r="G87" s="161"/>
      <c r="H87" s="161"/>
      <c r="I87" s="161"/>
      <c r="J87" s="161"/>
    </row>
    <row r="88" spans="2:10" x14ac:dyDescent="0.25">
      <c r="B88" s="779" t="s">
        <v>1230</v>
      </c>
      <c r="C88" s="779"/>
      <c r="D88" s="779"/>
      <c r="E88" s="779"/>
      <c r="F88" s="779"/>
      <c r="G88" s="779"/>
      <c r="H88" s="779"/>
      <c r="I88" s="779"/>
      <c r="J88" s="161"/>
    </row>
    <row r="89" spans="2:10" ht="15" customHeight="1" x14ac:dyDescent="0.25">
      <c r="B89" s="767" t="s">
        <v>2</v>
      </c>
      <c r="C89" s="767"/>
      <c r="D89" s="767" t="s">
        <v>26</v>
      </c>
      <c r="E89" s="767"/>
      <c r="F89" s="767"/>
      <c r="G89" s="767"/>
      <c r="H89" s="767"/>
      <c r="I89" s="767"/>
    </row>
    <row r="90" spans="2:10" x14ac:dyDescent="0.25">
      <c r="B90" s="771"/>
      <c r="C90" s="771"/>
      <c r="D90" s="163" t="s">
        <v>5</v>
      </c>
      <c r="E90" s="163" t="s">
        <v>6</v>
      </c>
      <c r="F90" s="163" t="s">
        <v>888</v>
      </c>
      <c r="G90" s="163" t="s">
        <v>953</v>
      </c>
      <c r="H90" s="163" t="s">
        <v>1125</v>
      </c>
      <c r="I90" s="163" t="s">
        <v>1229</v>
      </c>
    </row>
    <row r="91" spans="2:10" ht="15.75" thickBot="1" x14ac:dyDescent="0.3">
      <c r="B91" s="773" t="s">
        <v>7</v>
      </c>
      <c r="C91" s="773"/>
      <c r="D91" s="202">
        <v>28</v>
      </c>
      <c r="E91" s="202">
        <v>28</v>
      </c>
      <c r="F91" s="202">
        <v>31</v>
      </c>
      <c r="G91" s="202">
        <v>28</v>
      </c>
      <c r="H91" s="202">
        <v>26</v>
      </c>
      <c r="I91" s="666">
        <v>29</v>
      </c>
    </row>
    <row r="92" spans="2:10" ht="15.75" thickBot="1" x14ac:dyDescent="0.3">
      <c r="B92" s="774" t="s">
        <v>8</v>
      </c>
      <c r="C92" s="774"/>
      <c r="D92" s="202">
        <v>34</v>
      </c>
      <c r="E92" s="202">
        <v>34</v>
      </c>
      <c r="F92" s="202">
        <v>35</v>
      </c>
      <c r="G92" s="202">
        <v>32</v>
      </c>
      <c r="H92" s="202">
        <v>31</v>
      </c>
      <c r="I92" s="666">
        <v>34</v>
      </c>
    </row>
    <row r="93" spans="2:10" ht="15.75" thickBot="1" x14ac:dyDescent="0.3">
      <c r="B93" s="780" t="s">
        <v>11</v>
      </c>
      <c r="C93" s="780"/>
      <c r="D93" s="164">
        <f t="shared" ref="D93:I93" si="1">SUM(D91:D92)</f>
        <v>62</v>
      </c>
      <c r="E93" s="164">
        <f t="shared" si="1"/>
        <v>62</v>
      </c>
      <c r="F93" s="164">
        <f t="shared" si="1"/>
        <v>66</v>
      </c>
      <c r="G93" s="164">
        <f t="shared" si="1"/>
        <v>60</v>
      </c>
      <c r="H93" s="164">
        <f t="shared" si="1"/>
        <v>57</v>
      </c>
      <c r="I93" s="164">
        <f t="shared" si="1"/>
        <v>63</v>
      </c>
    </row>
    <row r="94" spans="2:10" x14ac:dyDescent="0.25">
      <c r="B94" s="3" t="s">
        <v>1922</v>
      </c>
      <c r="C94" s="161"/>
      <c r="D94" s="161"/>
      <c r="E94" s="161"/>
      <c r="F94" s="161"/>
      <c r="G94" s="161"/>
      <c r="H94" s="161"/>
      <c r="I94" s="161"/>
      <c r="J94" s="161"/>
    </row>
    <row r="95" spans="2:10" x14ac:dyDescent="0.25">
      <c r="B95" s="3" t="s">
        <v>12</v>
      </c>
      <c r="C95" s="161"/>
      <c r="D95" s="161"/>
      <c r="E95" s="161"/>
      <c r="F95" s="161"/>
      <c r="G95" s="161"/>
      <c r="H95" s="161"/>
      <c r="I95" s="161"/>
      <c r="J95" s="161"/>
    </row>
    <row r="96" spans="2:10" x14ac:dyDescent="0.25">
      <c r="B96" s="3"/>
      <c r="C96" s="161"/>
      <c r="D96" s="161"/>
      <c r="E96" s="161"/>
      <c r="F96" s="161"/>
      <c r="G96" s="161"/>
      <c r="H96" s="161"/>
      <c r="I96" s="161"/>
      <c r="J96" s="161"/>
    </row>
    <row r="97" spans="2:10" x14ac:dyDescent="0.25">
      <c r="B97" s="668" t="s">
        <v>889</v>
      </c>
      <c r="C97" s="668"/>
      <c r="D97" s="668"/>
      <c r="E97" s="668"/>
      <c r="F97" s="668"/>
      <c r="G97" s="668"/>
      <c r="H97" s="552"/>
      <c r="I97" s="445"/>
      <c r="J97" s="161"/>
    </row>
    <row r="98" spans="2:10" ht="21" x14ac:dyDescent="0.25">
      <c r="C98" s="162"/>
      <c r="D98" s="263" t="s">
        <v>27</v>
      </c>
      <c r="E98" s="261" t="s">
        <v>828</v>
      </c>
      <c r="F98" s="266" t="s">
        <v>77</v>
      </c>
      <c r="G98" s="3"/>
      <c r="H98" s="3"/>
      <c r="I98" s="161"/>
      <c r="J98" s="161"/>
    </row>
    <row r="99" spans="2:10" x14ac:dyDescent="0.25">
      <c r="B99" s="776" t="s">
        <v>5</v>
      </c>
      <c r="C99" s="169" t="s">
        <v>28</v>
      </c>
      <c r="D99" s="264">
        <v>21</v>
      </c>
      <c r="E99" s="167">
        <v>17</v>
      </c>
      <c r="F99" s="267">
        <f>SUM(D99:E99)</f>
        <v>38</v>
      </c>
      <c r="G99" s="161"/>
      <c r="H99" s="229"/>
      <c r="I99" s="229"/>
      <c r="J99" s="161"/>
    </row>
    <row r="100" spans="2:10" ht="15.75" thickBot="1" x14ac:dyDescent="0.3">
      <c r="B100" s="776"/>
      <c r="C100" s="170" t="s">
        <v>29</v>
      </c>
      <c r="D100" s="265">
        <v>7</v>
      </c>
      <c r="E100" s="168">
        <v>17</v>
      </c>
      <c r="F100" s="267">
        <f>SUM(D100:E100)</f>
        <v>24</v>
      </c>
      <c r="G100" s="161"/>
      <c r="H100" s="229"/>
      <c r="I100" s="229"/>
      <c r="J100" s="161"/>
    </row>
    <row r="101" spans="2:10" x14ac:dyDescent="0.25">
      <c r="B101" s="776" t="s">
        <v>890</v>
      </c>
      <c r="C101" s="169" t="s">
        <v>28</v>
      </c>
      <c r="D101" s="264">
        <v>22</v>
      </c>
      <c r="E101" s="167">
        <v>18</v>
      </c>
      <c r="F101" s="267">
        <f t="shared" ref="F101:F106" si="2">SUM(D101:E101)</f>
        <v>40</v>
      </c>
      <c r="G101" s="161"/>
      <c r="H101" s="229"/>
      <c r="I101" s="229"/>
      <c r="J101" s="161"/>
    </row>
    <row r="102" spans="2:10" ht="15.75" thickBot="1" x14ac:dyDescent="0.3">
      <c r="B102" s="776"/>
      <c r="C102" s="170" t="s">
        <v>29</v>
      </c>
      <c r="D102" s="265">
        <v>6</v>
      </c>
      <c r="E102" s="168">
        <v>16</v>
      </c>
      <c r="F102" s="267">
        <f t="shared" si="2"/>
        <v>22</v>
      </c>
      <c r="G102" s="161"/>
      <c r="H102" s="229"/>
      <c r="I102" s="229"/>
      <c r="J102" s="161"/>
    </row>
    <row r="103" spans="2:10" x14ac:dyDescent="0.25">
      <c r="B103" s="776" t="s">
        <v>888</v>
      </c>
      <c r="C103" s="169" t="s">
        <v>28</v>
      </c>
      <c r="D103" s="264">
        <v>23</v>
      </c>
      <c r="E103" s="167">
        <v>17</v>
      </c>
      <c r="F103" s="267">
        <f t="shared" si="2"/>
        <v>40</v>
      </c>
      <c r="G103" s="161"/>
      <c r="H103" s="229"/>
      <c r="I103" s="229"/>
      <c r="J103" s="161"/>
    </row>
    <row r="104" spans="2:10" ht="15.75" thickBot="1" x14ac:dyDescent="0.3">
      <c r="B104" s="776"/>
      <c r="C104" s="170" t="s">
        <v>29</v>
      </c>
      <c r="D104" s="265">
        <v>8</v>
      </c>
      <c r="E104" s="168">
        <v>18</v>
      </c>
      <c r="F104" s="267">
        <f t="shared" si="2"/>
        <v>26</v>
      </c>
      <c r="G104" s="161"/>
      <c r="H104" s="229"/>
      <c r="I104" s="229"/>
      <c r="J104" s="161"/>
    </row>
    <row r="105" spans="2:10" x14ac:dyDescent="0.25">
      <c r="B105" s="776" t="s">
        <v>953</v>
      </c>
      <c r="C105" s="169" t="s">
        <v>28</v>
      </c>
      <c r="D105" s="264">
        <v>20</v>
      </c>
      <c r="E105" s="167">
        <v>17</v>
      </c>
      <c r="F105" s="267">
        <f t="shared" si="2"/>
        <v>37</v>
      </c>
      <c r="G105" s="161"/>
      <c r="H105" s="229"/>
      <c r="I105" s="229"/>
      <c r="J105" s="161"/>
    </row>
    <row r="106" spans="2:10" ht="15.75" thickBot="1" x14ac:dyDescent="0.3">
      <c r="B106" s="776"/>
      <c r="C106" s="170" t="s">
        <v>29</v>
      </c>
      <c r="D106" s="265">
        <v>8</v>
      </c>
      <c r="E106" s="168">
        <v>15</v>
      </c>
      <c r="F106" s="267">
        <f t="shared" si="2"/>
        <v>23</v>
      </c>
      <c r="G106" s="161"/>
      <c r="H106" s="229"/>
      <c r="I106" s="229"/>
      <c r="J106" s="161"/>
    </row>
    <row r="107" spans="2:10" x14ac:dyDescent="0.25">
      <c r="B107" s="776" t="s">
        <v>1125</v>
      </c>
      <c r="C107" s="169" t="s">
        <v>28</v>
      </c>
      <c r="D107" s="474">
        <v>21</v>
      </c>
      <c r="E107" s="475">
        <v>18</v>
      </c>
      <c r="F107" s="267">
        <f>SUM(D107:E107)</f>
        <v>39</v>
      </c>
      <c r="G107" s="161"/>
      <c r="H107" s="229"/>
      <c r="I107" s="229"/>
      <c r="J107" s="161"/>
    </row>
    <row r="108" spans="2:10" ht="15.75" thickBot="1" x14ac:dyDescent="0.3">
      <c r="B108" s="776"/>
      <c r="C108" s="170" t="s">
        <v>29</v>
      </c>
      <c r="D108" s="476">
        <v>5</v>
      </c>
      <c r="E108" s="477">
        <v>13</v>
      </c>
      <c r="F108" s="267">
        <f>SUM(D108:E108)</f>
        <v>18</v>
      </c>
      <c r="G108" s="161"/>
      <c r="H108" s="229"/>
      <c r="I108" s="229"/>
      <c r="J108" s="161"/>
    </row>
    <row r="109" spans="2:10" x14ac:dyDescent="0.25">
      <c r="B109" s="776" t="s">
        <v>1229</v>
      </c>
      <c r="C109" s="169" t="s">
        <v>28</v>
      </c>
      <c r="D109" s="474">
        <v>24</v>
      </c>
      <c r="E109" s="475">
        <v>18</v>
      </c>
      <c r="F109" s="267">
        <f>SUM(D109:E109)</f>
        <v>42</v>
      </c>
      <c r="G109" s="161"/>
      <c r="H109" s="229"/>
      <c r="I109" s="229"/>
      <c r="J109" s="161"/>
    </row>
    <row r="110" spans="2:10" ht="15.75" thickBot="1" x14ac:dyDescent="0.3">
      <c r="B110" s="776"/>
      <c r="C110" s="170" t="s">
        <v>29</v>
      </c>
      <c r="D110" s="476">
        <v>5</v>
      </c>
      <c r="E110" s="477">
        <v>16</v>
      </c>
      <c r="F110" s="267">
        <f>SUM(D110:E110)</f>
        <v>21</v>
      </c>
      <c r="G110" s="161"/>
      <c r="H110" s="229"/>
      <c r="I110" s="229"/>
      <c r="J110" s="161"/>
    </row>
    <row r="111" spans="2:10" x14ac:dyDescent="0.25">
      <c r="B111" s="3" t="s">
        <v>1922</v>
      </c>
      <c r="C111" s="161"/>
      <c r="D111" s="161"/>
      <c r="E111" s="161"/>
      <c r="F111" s="161"/>
      <c r="G111" s="161"/>
      <c r="H111" s="161"/>
      <c r="I111" s="162"/>
      <c r="J111" s="161"/>
    </row>
    <row r="112" spans="2:10" x14ac:dyDescent="0.25">
      <c r="B112" s="3" t="s">
        <v>12</v>
      </c>
      <c r="C112" s="161"/>
      <c r="D112" s="161"/>
      <c r="E112" s="161"/>
      <c r="F112" s="161"/>
      <c r="G112" s="161"/>
      <c r="H112" s="161"/>
      <c r="I112" s="162"/>
      <c r="J112" s="161"/>
    </row>
    <row r="113" spans="2:10" x14ac:dyDescent="0.25">
      <c r="C113" s="161"/>
      <c r="D113" s="161"/>
      <c r="E113" s="161"/>
      <c r="F113" s="161"/>
      <c r="G113" s="161"/>
      <c r="H113" s="161"/>
      <c r="I113" s="161"/>
      <c r="J113" s="161"/>
    </row>
    <row r="114" spans="2:10" x14ac:dyDescent="0.25">
      <c r="B114" s="161"/>
      <c r="C114" s="161"/>
      <c r="D114" s="161"/>
      <c r="E114" s="161"/>
      <c r="F114" s="161"/>
      <c r="G114" s="161"/>
      <c r="H114" s="161"/>
      <c r="I114" s="161"/>
      <c r="J114" s="161"/>
    </row>
    <row r="115" spans="2:10" x14ac:dyDescent="0.25">
      <c r="B115" s="161"/>
      <c r="C115" s="161"/>
      <c r="D115" s="161"/>
      <c r="E115" s="161"/>
      <c r="F115" s="161"/>
      <c r="G115" s="161"/>
      <c r="H115" s="161"/>
      <c r="I115" s="161"/>
      <c r="J115" s="161"/>
    </row>
    <row r="118" spans="2:10" x14ac:dyDescent="0.25">
      <c r="F118" s="467"/>
    </row>
  </sheetData>
  <mergeCells count="68">
    <mergeCell ref="D78:I78"/>
    <mergeCell ref="B77:I77"/>
    <mergeCell ref="D89:I89"/>
    <mergeCell ref="B88:I88"/>
    <mergeCell ref="B107:B108"/>
    <mergeCell ref="B81:C81"/>
    <mergeCell ref="B83:C83"/>
    <mergeCell ref="B89:C90"/>
    <mergeCell ref="B91:C91"/>
    <mergeCell ref="B92:C92"/>
    <mergeCell ref="B93:C93"/>
    <mergeCell ref="B105:B106"/>
    <mergeCell ref="B99:B100"/>
    <mergeCell ref="B101:B102"/>
    <mergeCell ref="B103:B104"/>
    <mergeCell ref="B109:B110"/>
    <mergeCell ref="B51:C51"/>
    <mergeCell ref="B52:C52"/>
    <mergeCell ref="B53:C53"/>
    <mergeCell ref="B47:C47"/>
    <mergeCell ref="B82:C82"/>
    <mergeCell ref="B72:C72"/>
    <mergeCell ref="B63:C64"/>
    <mergeCell ref="B55:C55"/>
    <mergeCell ref="B70:C70"/>
    <mergeCell ref="B71:C71"/>
    <mergeCell ref="B65:C65"/>
    <mergeCell ref="B48:C48"/>
    <mergeCell ref="B80:C80"/>
    <mergeCell ref="B78:C79"/>
    <mergeCell ref="B69:C69"/>
    <mergeCell ref="D12:I12"/>
    <mergeCell ref="B12:C13"/>
    <mergeCell ref="B14:C14"/>
    <mergeCell ref="B15:C15"/>
    <mergeCell ref="B17:C17"/>
    <mergeCell ref="B16:C16"/>
    <mergeCell ref="D23:I23"/>
    <mergeCell ref="B22:I22"/>
    <mergeCell ref="D43:I43"/>
    <mergeCell ref="B42:I42"/>
    <mergeCell ref="B36:C36"/>
    <mergeCell ref="B23:C24"/>
    <mergeCell ref="B25:C25"/>
    <mergeCell ref="B26:C26"/>
    <mergeCell ref="B27:C27"/>
    <mergeCell ref="B28:C28"/>
    <mergeCell ref="B29:C29"/>
    <mergeCell ref="B43:C44"/>
    <mergeCell ref="B35:C35"/>
    <mergeCell ref="B30:C30"/>
    <mergeCell ref="B31:C31"/>
    <mergeCell ref="B32:C32"/>
    <mergeCell ref="B37:C37"/>
    <mergeCell ref="B33:C33"/>
    <mergeCell ref="B34:C34"/>
    <mergeCell ref="B50:C50"/>
    <mergeCell ref="B66:C66"/>
    <mergeCell ref="B45:C45"/>
    <mergeCell ref="B46:C46"/>
    <mergeCell ref="B49:C49"/>
    <mergeCell ref="B67:C67"/>
    <mergeCell ref="B68:C68"/>
    <mergeCell ref="B57:C57"/>
    <mergeCell ref="B54:C54"/>
    <mergeCell ref="D63:I63"/>
    <mergeCell ref="B62:I62"/>
    <mergeCell ref="B56:C56"/>
  </mergeCells>
  <phoneticPr fontId="3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AK447"/>
  <sheetViews>
    <sheetView zoomScale="70" zoomScaleNormal="70" workbookViewId="0">
      <selection activeCell="E272" sqref="E272:P287"/>
    </sheetView>
  </sheetViews>
  <sheetFormatPr baseColWidth="10" defaultColWidth="11.42578125" defaultRowHeight="15" x14ac:dyDescent="0.25"/>
  <cols>
    <col min="1" max="1" width="11.42578125" style="394"/>
    <col min="4" max="28" width="11.42578125" customWidth="1"/>
  </cols>
  <sheetData>
    <row r="7" spans="2:23" ht="18" x14ac:dyDescent="0.25">
      <c r="B7" s="1" t="s">
        <v>0</v>
      </c>
    </row>
    <row r="9" spans="2:23" ht="18" x14ac:dyDescent="0.25">
      <c r="B9" s="441" t="s">
        <v>642</v>
      </c>
    </row>
    <row r="12" spans="2:23" x14ac:dyDescent="0.25">
      <c r="B12" s="171" t="s">
        <v>791</v>
      </c>
      <c r="C12" s="171"/>
    </row>
    <row r="13" spans="2:23" x14ac:dyDescent="0.25">
      <c r="B13" s="15"/>
      <c r="C13" s="15"/>
    </row>
    <row r="14" spans="2:23" x14ac:dyDescent="0.25">
      <c r="B14" s="5" t="s">
        <v>30</v>
      </c>
      <c r="C14" s="5"/>
      <c r="D14" s="5"/>
      <c r="E14" s="5"/>
      <c r="F14" s="5"/>
      <c r="G14" s="5"/>
      <c r="H14" s="5"/>
      <c r="I14" s="396" t="s">
        <v>963</v>
      </c>
      <c r="J14" s="5"/>
      <c r="K14" s="5"/>
      <c r="L14" s="5"/>
      <c r="N14" s="5"/>
      <c r="O14" s="5"/>
      <c r="Q14" s="5"/>
      <c r="R14" s="5"/>
      <c r="S14" s="5"/>
      <c r="T14" s="5"/>
      <c r="U14" s="5"/>
      <c r="V14" s="5"/>
      <c r="W14" s="5"/>
    </row>
    <row r="15" spans="2:23" x14ac:dyDescent="0.25">
      <c r="B15" s="771" t="s">
        <v>2</v>
      </c>
      <c r="C15" s="771"/>
      <c r="D15" s="792" t="s">
        <v>31</v>
      </c>
      <c r="E15" s="792"/>
      <c r="F15" s="792"/>
      <c r="G15" s="26" t="s">
        <v>5</v>
      </c>
      <c r="H15" s="26" t="s">
        <v>6</v>
      </c>
      <c r="I15" s="26" t="s">
        <v>888</v>
      </c>
      <c r="J15" s="26" t="s">
        <v>953</v>
      </c>
      <c r="K15" s="26" t="s">
        <v>1125</v>
      </c>
      <c r="L15" s="26" t="s">
        <v>1229</v>
      </c>
    </row>
    <row r="16" spans="2:23" ht="13.5" customHeight="1" thickBot="1" x14ac:dyDescent="0.3">
      <c r="B16" s="797" t="s">
        <v>7</v>
      </c>
      <c r="C16" s="797"/>
      <c r="D16" s="808" t="s">
        <v>32</v>
      </c>
      <c r="E16" s="808"/>
      <c r="F16" s="808"/>
      <c r="G16" s="473">
        <v>50</v>
      </c>
      <c r="H16" s="473">
        <v>50</v>
      </c>
      <c r="I16" s="473">
        <v>50</v>
      </c>
      <c r="J16" s="473">
        <v>50</v>
      </c>
      <c r="K16" s="473">
        <v>50</v>
      </c>
      <c r="L16" s="473">
        <v>50</v>
      </c>
      <c r="P16" s="165"/>
    </row>
    <row r="17" spans="2:16" ht="15.75" thickBot="1" x14ac:dyDescent="0.3">
      <c r="B17" s="797"/>
      <c r="C17" s="797"/>
      <c r="D17" s="807" t="s">
        <v>33</v>
      </c>
      <c r="E17" s="807"/>
      <c r="F17" s="807"/>
      <c r="G17" s="478">
        <v>17</v>
      </c>
      <c r="H17" s="478">
        <v>21</v>
      </c>
      <c r="I17" s="478">
        <v>36</v>
      </c>
      <c r="J17" s="478">
        <v>36</v>
      </c>
      <c r="K17" s="478">
        <v>50</v>
      </c>
      <c r="L17" s="478">
        <v>45</v>
      </c>
      <c r="P17" s="165"/>
    </row>
    <row r="18" spans="2:16" ht="15.75" thickBot="1" x14ac:dyDescent="0.3">
      <c r="B18" s="797"/>
      <c r="C18" s="797"/>
      <c r="D18" s="807" t="s">
        <v>34</v>
      </c>
      <c r="E18" s="807"/>
      <c r="F18" s="807"/>
      <c r="G18" s="478" t="s">
        <v>35</v>
      </c>
      <c r="H18" s="478" t="s">
        <v>36</v>
      </c>
      <c r="I18" s="478" t="s">
        <v>933</v>
      </c>
      <c r="J18" s="478" t="s">
        <v>933</v>
      </c>
      <c r="K18" s="478" t="s">
        <v>1133</v>
      </c>
      <c r="L18" s="478" t="s">
        <v>1923</v>
      </c>
      <c r="P18" s="165"/>
    </row>
    <row r="19" spans="2:16" ht="15.75" thickBot="1" x14ac:dyDescent="0.3">
      <c r="B19" s="797"/>
      <c r="C19" s="797"/>
      <c r="D19" s="807" t="s">
        <v>37</v>
      </c>
      <c r="E19" s="807"/>
      <c r="F19" s="807"/>
      <c r="G19" s="478">
        <v>35</v>
      </c>
      <c r="H19" s="478">
        <v>49</v>
      </c>
      <c r="I19" s="478">
        <v>72</v>
      </c>
      <c r="J19" s="478">
        <v>81</v>
      </c>
      <c r="K19" s="478">
        <v>87</v>
      </c>
      <c r="L19" s="478">
        <v>82</v>
      </c>
      <c r="M19" s="603"/>
    </row>
    <row r="20" spans="2:16" ht="15.75" thickBot="1" x14ac:dyDescent="0.3">
      <c r="B20" s="797"/>
      <c r="C20" s="797"/>
      <c r="D20" s="807" t="s">
        <v>38</v>
      </c>
      <c r="E20" s="807"/>
      <c r="F20" s="807"/>
      <c r="G20" s="478">
        <v>58</v>
      </c>
      <c r="H20" s="478">
        <v>91</v>
      </c>
      <c r="I20" s="478">
        <v>145</v>
      </c>
      <c r="J20" s="478">
        <v>184</v>
      </c>
      <c r="K20" s="478">
        <v>193</v>
      </c>
      <c r="L20" s="478">
        <v>154</v>
      </c>
    </row>
    <row r="21" spans="2:16" ht="15.75" thickBot="1" x14ac:dyDescent="0.3">
      <c r="B21" s="797"/>
      <c r="C21" s="797"/>
      <c r="D21" s="807" t="s">
        <v>39</v>
      </c>
      <c r="E21" s="807"/>
      <c r="F21" s="807"/>
      <c r="G21" s="478">
        <v>35</v>
      </c>
      <c r="H21" s="478">
        <v>40</v>
      </c>
      <c r="I21" s="478">
        <v>55</v>
      </c>
      <c r="J21" s="478">
        <v>52</v>
      </c>
      <c r="K21" s="478">
        <v>51</v>
      </c>
      <c r="L21" s="478">
        <v>41</v>
      </c>
    </row>
    <row r="22" spans="2:16" ht="15.75" thickBot="1" x14ac:dyDescent="0.3">
      <c r="B22" s="797"/>
      <c r="C22" s="797"/>
      <c r="D22" s="807" t="s">
        <v>40</v>
      </c>
      <c r="E22" s="807"/>
      <c r="F22" s="807"/>
      <c r="G22" s="478">
        <v>17</v>
      </c>
      <c r="H22" s="478">
        <v>19</v>
      </c>
      <c r="I22" s="478">
        <v>38</v>
      </c>
      <c r="J22" s="478">
        <v>31</v>
      </c>
      <c r="K22" s="478">
        <v>38</v>
      </c>
      <c r="L22" s="478">
        <v>31</v>
      </c>
    </row>
    <row r="23" spans="2:16" ht="15.75" thickBot="1" x14ac:dyDescent="0.3">
      <c r="B23" s="798"/>
      <c r="C23" s="798"/>
      <c r="D23" s="793" t="s">
        <v>41</v>
      </c>
      <c r="E23" s="793"/>
      <c r="F23" s="793"/>
      <c r="G23" s="172">
        <f t="shared" ref="G23:L23" si="0">G22/G21</f>
        <v>0.48571428571428571</v>
      </c>
      <c r="H23" s="172">
        <f t="shared" si="0"/>
        <v>0.47499999999999998</v>
      </c>
      <c r="I23" s="172">
        <f t="shared" si="0"/>
        <v>0.69090909090909092</v>
      </c>
      <c r="J23" s="172">
        <f t="shared" si="0"/>
        <v>0.59615384615384615</v>
      </c>
      <c r="K23" s="172">
        <f t="shared" si="0"/>
        <v>0.74509803921568629</v>
      </c>
      <c r="L23" s="172">
        <f t="shared" si="0"/>
        <v>0.75609756097560976</v>
      </c>
    </row>
    <row r="24" spans="2:16" x14ac:dyDescent="0.25">
      <c r="B24" s="19"/>
      <c r="C24" s="17"/>
      <c r="D24" s="18"/>
      <c r="E24" s="18"/>
      <c r="F24" s="18"/>
      <c r="G24" s="18"/>
      <c r="H24" s="18"/>
      <c r="I24" s="18"/>
      <c r="J24" s="18"/>
      <c r="K24" s="18"/>
    </row>
    <row r="25" spans="2:16" x14ac:dyDescent="0.25">
      <c r="B25" s="771" t="s">
        <v>2</v>
      </c>
      <c r="C25" s="771"/>
      <c r="D25" s="792" t="s">
        <v>31</v>
      </c>
      <c r="E25" s="792"/>
      <c r="F25" s="792"/>
      <c r="G25" s="26" t="s">
        <v>5</v>
      </c>
      <c r="H25" s="26" t="s">
        <v>6</v>
      </c>
      <c r="I25" s="26" t="s">
        <v>888</v>
      </c>
      <c r="J25" s="26" t="s">
        <v>953</v>
      </c>
      <c r="K25" s="26" t="s">
        <v>1125</v>
      </c>
      <c r="L25" s="26" t="s">
        <v>1229</v>
      </c>
    </row>
    <row r="26" spans="2:16" ht="15" customHeight="1" thickBot="1" x14ac:dyDescent="0.3">
      <c r="B26" s="797" t="s">
        <v>8</v>
      </c>
      <c r="C26" s="797"/>
      <c r="D26" s="806" t="s">
        <v>32</v>
      </c>
      <c r="E26" s="806"/>
      <c r="F26" s="806"/>
      <c r="G26" s="473">
        <v>60</v>
      </c>
      <c r="H26" s="473">
        <v>60</v>
      </c>
      <c r="I26" s="473">
        <v>60</v>
      </c>
      <c r="J26" s="473">
        <v>60</v>
      </c>
      <c r="K26" s="473">
        <v>60</v>
      </c>
      <c r="L26" s="473">
        <v>60</v>
      </c>
    </row>
    <row r="27" spans="2:16" ht="15.75" thickBot="1" x14ac:dyDescent="0.3">
      <c r="B27" s="797"/>
      <c r="C27" s="797"/>
      <c r="D27" s="800" t="s">
        <v>33</v>
      </c>
      <c r="E27" s="800"/>
      <c r="F27" s="800"/>
      <c r="G27" s="478">
        <v>50</v>
      </c>
      <c r="H27" s="478">
        <v>51</v>
      </c>
      <c r="I27" s="478">
        <v>38</v>
      </c>
      <c r="J27" s="478">
        <v>23</v>
      </c>
      <c r="K27" s="478">
        <v>35</v>
      </c>
      <c r="L27" s="478">
        <v>38</v>
      </c>
    </row>
    <row r="28" spans="2:16" ht="15.75" customHeight="1" thickBot="1" x14ac:dyDescent="0.3">
      <c r="B28" s="797"/>
      <c r="C28" s="797"/>
      <c r="D28" s="800" t="s">
        <v>34</v>
      </c>
      <c r="E28" s="800"/>
      <c r="F28" s="800"/>
      <c r="G28" s="478" t="s">
        <v>830</v>
      </c>
      <c r="H28" s="478" t="s">
        <v>831</v>
      </c>
      <c r="I28" s="478" t="s">
        <v>934</v>
      </c>
      <c r="J28" s="478" t="s">
        <v>829</v>
      </c>
      <c r="K28" s="478" t="s">
        <v>1134</v>
      </c>
      <c r="L28" s="478">
        <v>1.57</v>
      </c>
    </row>
    <row r="29" spans="2:16" ht="15.75" thickBot="1" x14ac:dyDescent="0.3">
      <c r="B29" s="797"/>
      <c r="C29" s="797"/>
      <c r="D29" s="800" t="s">
        <v>37</v>
      </c>
      <c r="E29" s="800"/>
      <c r="F29" s="800"/>
      <c r="G29" s="478">
        <v>175</v>
      </c>
      <c r="H29" s="478">
        <v>187</v>
      </c>
      <c r="I29" s="478">
        <v>203</v>
      </c>
      <c r="J29" s="478">
        <v>271</v>
      </c>
      <c r="K29" s="478">
        <v>226</v>
      </c>
      <c r="L29" s="478">
        <v>237</v>
      </c>
    </row>
    <row r="30" spans="2:16" ht="15.75" thickBot="1" x14ac:dyDescent="0.3">
      <c r="B30" s="797"/>
      <c r="C30" s="797"/>
      <c r="D30" s="800" t="s">
        <v>38</v>
      </c>
      <c r="E30" s="800"/>
      <c r="F30" s="800"/>
      <c r="G30" s="478">
        <v>368</v>
      </c>
      <c r="H30" s="478">
        <v>359</v>
      </c>
      <c r="I30" s="478">
        <v>387</v>
      </c>
      <c r="J30" s="478">
        <v>537</v>
      </c>
      <c r="K30" s="478">
        <v>577</v>
      </c>
      <c r="L30" s="478">
        <v>564</v>
      </c>
    </row>
    <row r="31" spans="2:16" ht="15.75" thickBot="1" x14ac:dyDescent="0.3">
      <c r="B31" s="797"/>
      <c r="C31" s="797"/>
      <c r="D31" s="800" t="s">
        <v>39</v>
      </c>
      <c r="E31" s="800"/>
      <c r="F31" s="800"/>
      <c r="G31" s="478">
        <v>63</v>
      </c>
      <c r="H31" s="478">
        <v>59</v>
      </c>
      <c r="I31" s="478">
        <v>48</v>
      </c>
      <c r="J31" s="478">
        <v>62</v>
      </c>
      <c r="K31" s="478">
        <v>61</v>
      </c>
      <c r="L31" s="478">
        <v>65</v>
      </c>
    </row>
    <row r="32" spans="2:16" ht="15.75" thickBot="1" x14ac:dyDescent="0.3">
      <c r="B32" s="797"/>
      <c r="C32" s="797"/>
      <c r="D32" s="800" t="s">
        <v>40</v>
      </c>
      <c r="E32" s="800"/>
      <c r="F32" s="800"/>
      <c r="G32" s="478">
        <v>23</v>
      </c>
      <c r="H32" s="478">
        <v>34</v>
      </c>
      <c r="I32" s="478">
        <v>31</v>
      </c>
      <c r="J32" s="478">
        <v>15</v>
      </c>
      <c r="K32" s="478">
        <v>23</v>
      </c>
      <c r="L32" s="478">
        <v>27</v>
      </c>
    </row>
    <row r="33" spans="2:25" ht="15.75" thickBot="1" x14ac:dyDescent="0.3">
      <c r="B33" s="798"/>
      <c r="C33" s="798"/>
      <c r="D33" s="793" t="s">
        <v>41</v>
      </c>
      <c r="E33" s="793"/>
      <c r="F33" s="793"/>
      <c r="G33" s="479">
        <f t="shared" ref="G33:L33" si="1">G32/G31</f>
        <v>0.36507936507936506</v>
      </c>
      <c r="H33" s="479">
        <f t="shared" si="1"/>
        <v>0.57627118644067798</v>
      </c>
      <c r="I33" s="479">
        <f t="shared" si="1"/>
        <v>0.64583333333333337</v>
      </c>
      <c r="J33" s="479">
        <f t="shared" si="1"/>
        <v>0.24193548387096775</v>
      </c>
      <c r="K33" s="479">
        <f t="shared" si="1"/>
        <v>0.37704918032786883</v>
      </c>
      <c r="L33" s="479">
        <f t="shared" si="1"/>
        <v>0.41538461538461541</v>
      </c>
    </row>
    <row r="34" spans="2:25" x14ac:dyDescent="0.25">
      <c r="C34" s="21"/>
      <c r="D34" s="22"/>
      <c r="E34" s="22"/>
      <c r="F34" s="22"/>
      <c r="G34" s="22"/>
      <c r="H34" s="22"/>
      <c r="I34" s="22"/>
      <c r="J34" s="22"/>
      <c r="L34" s="20"/>
    </row>
    <row r="35" spans="2:25" x14ac:dyDescent="0.25">
      <c r="B35" s="771" t="s">
        <v>2</v>
      </c>
      <c r="C35" s="771"/>
      <c r="D35" s="792" t="s">
        <v>31</v>
      </c>
      <c r="E35" s="792"/>
      <c r="F35" s="792"/>
      <c r="G35" s="26" t="s">
        <v>888</v>
      </c>
      <c r="H35" s="26" t="s">
        <v>953</v>
      </c>
      <c r="I35" s="26" t="s">
        <v>1125</v>
      </c>
      <c r="J35" s="26" t="s">
        <v>1229</v>
      </c>
    </row>
    <row r="36" spans="2:25" ht="15" customHeight="1" thickBot="1" x14ac:dyDescent="0.3">
      <c r="B36" s="797" t="s">
        <v>904</v>
      </c>
      <c r="C36" s="797"/>
      <c r="D36" s="806" t="s">
        <v>32</v>
      </c>
      <c r="E36" s="806"/>
      <c r="F36" s="806"/>
      <c r="G36" s="473">
        <v>10</v>
      </c>
      <c r="H36" s="473">
        <v>10</v>
      </c>
      <c r="I36" s="473">
        <v>10</v>
      </c>
      <c r="J36" s="473">
        <v>10</v>
      </c>
    </row>
    <row r="37" spans="2:25" ht="15.75" thickBot="1" x14ac:dyDescent="0.3">
      <c r="B37" s="797"/>
      <c r="C37" s="797"/>
      <c r="D37" s="800" t="s">
        <v>33</v>
      </c>
      <c r="E37" s="800"/>
      <c r="F37" s="800"/>
      <c r="G37" s="478">
        <v>6</v>
      </c>
      <c r="H37" s="478">
        <v>10</v>
      </c>
      <c r="I37" s="478">
        <v>11</v>
      </c>
      <c r="J37" s="478">
        <v>8</v>
      </c>
    </row>
    <row r="38" spans="2:25" ht="15.75" customHeight="1" thickBot="1" x14ac:dyDescent="0.3">
      <c r="B38" s="797"/>
      <c r="C38" s="797"/>
      <c r="D38" s="800" t="s">
        <v>34</v>
      </c>
      <c r="E38" s="800"/>
      <c r="F38" s="800"/>
      <c r="G38" s="478" t="s">
        <v>935</v>
      </c>
      <c r="H38" s="478" t="s">
        <v>973</v>
      </c>
      <c r="I38" s="478" t="s">
        <v>1135</v>
      </c>
      <c r="J38" s="478">
        <v>1.25</v>
      </c>
    </row>
    <row r="39" spans="2:25" ht="15.75" thickBot="1" x14ac:dyDescent="0.3">
      <c r="B39" s="797"/>
      <c r="C39" s="797"/>
      <c r="D39" s="800" t="s">
        <v>37</v>
      </c>
      <c r="E39" s="800"/>
      <c r="F39" s="800"/>
      <c r="G39" s="478">
        <v>19</v>
      </c>
      <c r="H39" s="478">
        <v>24</v>
      </c>
      <c r="I39" s="478">
        <v>25</v>
      </c>
      <c r="J39" s="478">
        <v>29</v>
      </c>
    </row>
    <row r="40" spans="2:25" ht="15.75" thickBot="1" x14ac:dyDescent="0.3">
      <c r="B40" s="797"/>
      <c r="C40" s="797"/>
      <c r="D40" s="800" t="s">
        <v>38</v>
      </c>
      <c r="E40" s="800"/>
      <c r="F40" s="800"/>
      <c r="G40" s="478">
        <v>41</v>
      </c>
      <c r="H40" s="478">
        <v>52</v>
      </c>
      <c r="I40" s="478">
        <v>56</v>
      </c>
      <c r="J40" s="478">
        <v>48</v>
      </c>
    </row>
    <row r="41" spans="2:25" ht="15.75" thickBot="1" x14ac:dyDescent="0.3">
      <c r="B41" s="797"/>
      <c r="C41" s="797"/>
      <c r="D41" s="800" t="s">
        <v>39</v>
      </c>
      <c r="E41" s="800"/>
      <c r="F41" s="800"/>
      <c r="G41" s="478">
        <v>4</v>
      </c>
      <c r="H41" s="478">
        <v>11</v>
      </c>
      <c r="I41" s="478">
        <v>11</v>
      </c>
      <c r="J41" s="478">
        <v>6</v>
      </c>
    </row>
    <row r="42" spans="2:25" ht="15.75" thickBot="1" x14ac:dyDescent="0.3">
      <c r="B42" s="797"/>
      <c r="C42" s="797"/>
      <c r="D42" s="800" t="s">
        <v>40</v>
      </c>
      <c r="E42" s="800"/>
      <c r="F42" s="800"/>
      <c r="G42" s="478">
        <v>3</v>
      </c>
      <c r="H42" s="478">
        <v>8</v>
      </c>
      <c r="I42" s="478">
        <v>3</v>
      </c>
      <c r="J42" s="478">
        <v>4</v>
      </c>
    </row>
    <row r="43" spans="2:25" ht="15.75" thickBot="1" x14ac:dyDescent="0.3">
      <c r="B43" s="798"/>
      <c r="C43" s="798"/>
      <c r="D43" s="793" t="s">
        <v>41</v>
      </c>
      <c r="E43" s="793"/>
      <c r="F43" s="793"/>
      <c r="G43" s="479">
        <f>G42/G41</f>
        <v>0.75</v>
      </c>
      <c r="H43" s="479">
        <f>H42/H41</f>
        <v>0.72727272727272729</v>
      </c>
      <c r="I43" s="479">
        <f>I42/I41</f>
        <v>0.27272727272727271</v>
      </c>
      <c r="J43" s="479">
        <f>J42/J41</f>
        <v>0.66666666666666663</v>
      </c>
    </row>
    <row r="44" spans="2:25" ht="12.75" customHeight="1" x14ac:dyDescent="0.25">
      <c r="B44" s="3" t="s">
        <v>1922</v>
      </c>
      <c r="C44" s="3"/>
    </row>
    <row r="45" spans="2:25" ht="12.75" customHeight="1" x14ac:dyDescent="0.25">
      <c r="B45" s="3" t="s">
        <v>42</v>
      </c>
      <c r="C45" s="3"/>
    </row>
    <row r="47" spans="2:25" x14ac:dyDescent="0.25">
      <c r="B47" s="15"/>
      <c r="C47" s="15"/>
    </row>
    <row r="48" spans="2:25" ht="12.75" customHeight="1" x14ac:dyDescent="0.25">
      <c r="B48" s="829" t="s">
        <v>1227</v>
      </c>
      <c r="C48" s="829"/>
      <c r="D48" s="829"/>
      <c r="E48" s="829"/>
      <c r="F48" s="829"/>
      <c r="G48" s="829"/>
      <c r="H48" s="829"/>
      <c r="I48" s="829"/>
      <c r="J48" s="829"/>
      <c r="K48" s="829"/>
      <c r="L48" s="829"/>
      <c r="M48" s="173"/>
      <c r="N48" s="5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</row>
    <row r="49" spans="2:25" x14ac:dyDescent="0.25">
      <c r="B49" s="771" t="s">
        <v>2</v>
      </c>
      <c r="C49" s="771"/>
      <c r="D49" s="792" t="s">
        <v>43</v>
      </c>
      <c r="E49" s="792"/>
      <c r="F49" s="792"/>
      <c r="G49" s="26" t="s">
        <v>5</v>
      </c>
      <c r="H49" s="26" t="s">
        <v>6</v>
      </c>
      <c r="I49" s="26" t="s">
        <v>888</v>
      </c>
      <c r="J49" s="26" t="s">
        <v>953</v>
      </c>
      <c r="K49" s="26" t="s">
        <v>1125</v>
      </c>
      <c r="L49" s="26" t="s">
        <v>1229</v>
      </c>
      <c r="Q49" s="173"/>
      <c r="R49" s="173"/>
    </row>
    <row r="50" spans="2:25" ht="28.5" customHeight="1" thickBot="1" x14ac:dyDescent="0.3">
      <c r="B50" s="796" t="s">
        <v>7</v>
      </c>
      <c r="C50" s="796"/>
      <c r="D50" s="790" t="s">
        <v>44</v>
      </c>
      <c r="E50" s="790"/>
      <c r="F50" s="790"/>
      <c r="G50" s="174">
        <v>0.6</v>
      </c>
      <c r="H50" s="391">
        <f>23/40</f>
        <v>0.57499999999999996</v>
      </c>
      <c r="I50" s="391">
        <f>24/55</f>
        <v>0.43636363636363634</v>
      </c>
      <c r="J50" s="391">
        <v>0.5</v>
      </c>
      <c r="K50" s="391">
        <f>27/51</f>
        <v>0.52941176470588236</v>
      </c>
      <c r="L50" s="176">
        <v>0.60980000000000001</v>
      </c>
      <c r="Q50" s="173"/>
      <c r="R50" s="173"/>
      <c r="S50" s="277"/>
      <c r="T50" s="277"/>
      <c r="U50" s="277"/>
      <c r="V50" s="277"/>
      <c r="W50" s="277"/>
      <c r="X50" s="277"/>
      <c r="Y50" s="277"/>
    </row>
    <row r="51" spans="2:25" ht="18.75" customHeight="1" thickBot="1" x14ac:dyDescent="0.3">
      <c r="B51" s="797"/>
      <c r="C51" s="797"/>
      <c r="D51" s="800" t="s">
        <v>45</v>
      </c>
      <c r="E51" s="800"/>
      <c r="F51" s="800"/>
      <c r="G51" s="175">
        <v>2.86E-2</v>
      </c>
      <c r="H51" s="392">
        <v>0</v>
      </c>
      <c r="I51" s="392">
        <v>0</v>
      </c>
      <c r="J51" s="391">
        <v>1.9230769230769232E-2</v>
      </c>
      <c r="K51" s="392">
        <f>1/51</f>
        <v>1.9607843137254902E-2</v>
      </c>
      <c r="L51" s="176">
        <v>0</v>
      </c>
      <c r="Q51" s="173"/>
      <c r="R51" s="173"/>
      <c r="S51" s="277"/>
      <c r="T51" s="277"/>
      <c r="U51" s="277"/>
      <c r="V51" s="277"/>
      <c r="W51" s="277"/>
      <c r="X51" s="277"/>
      <c r="Y51" s="277"/>
    </row>
    <row r="52" spans="2:25" ht="20.25" customHeight="1" thickBot="1" x14ac:dyDescent="0.3">
      <c r="B52" s="797"/>
      <c r="C52" s="797"/>
      <c r="D52" s="800" t="s">
        <v>46</v>
      </c>
      <c r="E52" s="800"/>
      <c r="F52" s="800"/>
      <c r="G52" s="175">
        <v>0.22850000000000001</v>
      </c>
      <c r="H52" s="392">
        <f>14/40</f>
        <v>0.35</v>
      </c>
      <c r="I52" s="392">
        <f>27/55</f>
        <v>0.49090909090909091</v>
      </c>
      <c r="J52" s="391">
        <v>0.48076923076923078</v>
      </c>
      <c r="K52" s="392">
        <f>23/51</f>
        <v>0.45098039215686275</v>
      </c>
      <c r="L52" s="176">
        <v>0.34150000000000003</v>
      </c>
      <c r="Q52" s="173"/>
      <c r="R52" s="173"/>
      <c r="S52" s="2"/>
    </row>
    <row r="53" spans="2:25" ht="21.75" customHeight="1" thickBot="1" x14ac:dyDescent="0.3">
      <c r="B53" s="797"/>
      <c r="C53" s="797"/>
      <c r="D53" s="791" t="s">
        <v>47</v>
      </c>
      <c r="E53" s="791"/>
      <c r="F53" s="791"/>
      <c r="G53" s="175">
        <v>0.1429</v>
      </c>
      <c r="H53" s="392">
        <f>1/40</f>
        <v>2.5000000000000001E-2</v>
      </c>
      <c r="I53" s="392">
        <f>2/55</f>
        <v>3.6363636363636362E-2</v>
      </c>
      <c r="J53" s="391">
        <v>0</v>
      </c>
      <c r="K53" s="391">
        <v>0</v>
      </c>
      <c r="L53" s="176">
        <v>2.4400000000000002E-2</v>
      </c>
      <c r="Q53" s="173"/>
      <c r="R53" s="173"/>
      <c r="S53" s="2"/>
    </row>
    <row r="54" spans="2:25" ht="24" customHeight="1" thickBot="1" x14ac:dyDescent="0.3">
      <c r="B54" s="797"/>
      <c r="C54" s="797"/>
      <c r="D54" s="791" t="s">
        <v>48</v>
      </c>
      <c r="E54" s="791"/>
      <c r="F54" s="791"/>
      <c r="G54" s="175">
        <v>0</v>
      </c>
      <c r="H54" s="392">
        <f>2/40</f>
        <v>0.05</v>
      </c>
      <c r="I54" s="392">
        <v>0</v>
      </c>
      <c r="J54" s="391">
        <v>0</v>
      </c>
      <c r="K54" s="391">
        <v>0</v>
      </c>
      <c r="L54" s="391">
        <v>2.4400000000000002E-2</v>
      </c>
      <c r="Q54" s="173"/>
      <c r="R54" s="173"/>
      <c r="S54" s="2"/>
    </row>
    <row r="55" spans="2:25" ht="24" customHeight="1" thickBot="1" x14ac:dyDescent="0.3">
      <c r="B55" s="797"/>
      <c r="C55" s="797"/>
      <c r="D55" s="791" t="s">
        <v>49</v>
      </c>
      <c r="E55" s="791"/>
      <c r="F55" s="791"/>
      <c r="G55" s="175">
        <v>0</v>
      </c>
      <c r="H55" s="392">
        <v>0</v>
      </c>
      <c r="I55" s="392">
        <v>0</v>
      </c>
      <c r="J55" s="391">
        <v>0</v>
      </c>
      <c r="K55" s="391">
        <v>0</v>
      </c>
      <c r="L55" s="391">
        <v>0</v>
      </c>
      <c r="Q55" s="173"/>
      <c r="R55" s="173"/>
      <c r="S55" s="395"/>
      <c r="T55" s="277"/>
      <c r="U55" s="277"/>
      <c r="V55" s="277"/>
      <c r="W55" s="277"/>
      <c r="X55" s="277"/>
      <c r="Y55" s="277"/>
    </row>
    <row r="56" spans="2:25" ht="15.75" customHeight="1" thickBot="1" x14ac:dyDescent="0.3">
      <c r="B56" s="798"/>
      <c r="C56" s="798"/>
      <c r="D56" s="827" t="s">
        <v>940</v>
      </c>
      <c r="E56" s="827"/>
      <c r="F56" s="827"/>
      <c r="G56" s="172">
        <v>0</v>
      </c>
      <c r="H56" s="393">
        <v>0</v>
      </c>
      <c r="I56" s="393">
        <f>2/55</f>
        <v>3.6363636363636362E-2</v>
      </c>
      <c r="J56" s="393">
        <v>0</v>
      </c>
      <c r="K56" s="509">
        <v>0</v>
      </c>
      <c r="L56" s="509">
        <v>0</v>
      </c>
      <c r="Q56" s="173"/>
      <c r="R56" s="173"/>
    </row>
    <row r="57" spans="2:25" x14ac:dyDescent="0.25">
      <c r="B57" s="19"/>
      <c r="C57" s="23"/>
      <c r="D57" s="24"/>
      <c r="E57" s="18"/>
      <c r="F57" s="18"/>
      <c r="G57" s="18"/>
      <c r="H57" s="18"/>
      <c r="I57" s="18"/>
      <c r="J57" s="18"/>
      <c r="K57" s="18"/>
      <c r="L57" s="2"/>
      <c r="M57" s="2"/>
      <c r="Q57" s="173"/>
      <c r="R57" s="173"/>
    </row>
    <row r="58" spans="2:25" x14ac:dyDescent="0.25">
      <c r="B58" s="771" t="s">
        <v>2</v>
      </c>
      <c r="C58" s="771"/>
      <c r="D58" s="792" t="s">
        <v>43</v>
      </c>
      <c r="E58" s="792"/>
      <c r="F58" s="792"/>
      <c r="G58" s="163" t="s">
        <v>5</v>
      </c>
      <c r="H58" s="163" t="s">
        <v>6</v>
      </c>
      <c r="I58" s="163" t="s">
        <v>888</v>
      </c>
      <c r="J58" s="163" t="s">
        <v>953</v>
      </c>
      <c r="K58" s="163" t="s">
        <v>1125</v>
      </c>
      <c r="L58" s="26" t="s">
        <v>1229</v>
      </c>
      <c r="Q58" s="173"/>
      <c r="R58" s="173"/>
    </row>
    <row r="59" spans="2:25" ht="21.75" customHeight="1" thickBot="1" x14ac:dyDescent="0.3">
      <c r="B59" s="796" t="s">
        <v>8</v>
      </c>
      <c r="C59" s="796"/>
      <c r="D59" s="790" t="s">
        <v>44</v>
      </c>
      <c r="E59" s="790"/>
      <c r="F59" s="790"/>
      <c r="G59" s="176">
        <v>0.63492063492063489</v>
      </c>
      <c r="H59" s="176">
        <v>0.77966101694915257</v>
      </c>
      <c r="I59" s="176">
        <f>39/48</f>
        <v>0.8125</v>
      </c>
      <c r="J59" s="391">
        <v>0.88709677419354838</v>
      </c>
      <c r="K59" s="176">
        <f>50/61</f>
        <v>0.81967213114754101</v>
      </c>
      <c r="L59" s="176">
        <v>0.78459999999999996</v>
      </c>
      <c r="Q59" s="173"/>
      <c r="R59" s="173"/>
    </row>
    <row r="60" spans="2:25" ht="21.75" customHeight="1" thickBot="1" x14ac:dyDescent="0.3">
      <c r="B60" s="797"/>
      <c r="C60" s="797"/>
      <c r="D60" s="800" t="s">
        <v>45</v>
      </c>
      <c r="E60" s="800"/>
      <c r="F60" s="800"/>
      <c r="G60" s="176">
        <v>4.7619047619047616E-2</v>
      </c>
      <c r="H60" s="176">
        <v>3.3898305084745763E-2</v>
      </c>
      <c r="I60" s="392">
        <v>0</v>
      </c>
      <c r="J60" s="391">
        <v>1.6129032258064516E-2</v>
      </c>
      <c r="K60" s="176">
        <f>1/61</f>
        <v>1.6393442622950821E-2</v>
      </c>
      <c r="L60" s="176">
        <v>0</v>
      </c>
      <c r="Q60" s="173"/>
      <c r="R60" s="173"/>
    </row>
    <row r="61" spans="2:25" ht="21.75" customHeight="1" thickBot="1" x14ac:dyDescent="0.3">
      <c r="B61" s="797"/>
      <c r="C61" s="797"/>
      <c r="D61" s="800" t="s">
        <v>46</v>
      </c>
      <c r="E61" s="800"/>
      <c r="F61" s="800"/>
      <c r="G61" s="176">
        <v>0.17460317460317459</v>
      </c>
      <c r="H61" s="176">
        <v>0.11864406779661017</v>
      </c>
      <c r="I61" s="176">
        <f>7/48</f>
        <v>0.14583333333333334</v>
      </c>
      <c r="J61" s="391">
        <v>6.4516129032258063E-2</v>
      </c>
      <c r="K61" s="176">
        <f>6/61</f>
        <v>9.8360655737704916E-2</v>
      </c>
      <c r="L61" s="176">
        <v>0.21540000000000001</v>
      </c>
      <c r="Q61" s="390"/>
    </row>
    <row r="62" spans="2:25" ht="21.75" customHeight="1" thickBot="1" x14ac:dyDescent="0.3">
      <c r="B62" s="797"/>
      <c r="C62" s="797"/>
      <c r="D62" s="791" t="s">
        <v>47</v>
      </c>
      <c r="E62" s="791"/>
      <c r="F62" s="791"/>
      <c r="G62" s="176">
        <v>0.1111111111111111</v>
      </c>
      <c r="H62" s="176">
        <v>3.3898305084745763E-2</v>
      </c>
      <c r="I62" s="176">
        <f>2/48</f>
        <v>4.1666666666666664E-2</v>
      </c>
      <c r="J62" s="391">
        <v>3.2258064516129031E-2</v>
      </c>
      <c r="K62" s="176">
        <f>4/61</f>
        <v>6.5573770491803282E-2</v>
      </c>
      <c r="L62" s="176">
        <v>0</v>
      </c>
      <c r="Q62" s="390"/>
    </row>
    <row r="63" spans="2:25" ht="21.75" customHeight="1" thickBot="1" x14ac:dyDescent="0.3">
      <c r="B63" s="797"/>
      <c r="C63" s="797"/>
      <c r="D63" s="791" t="s">
        <v>48</v>
      </c>
      <c r="E63" s="791"/>
      <c r="F63" s="791"/>
      <c r="G63" s="176">
        <v>1.5873015873015872E-2</v>
      </c>
      <c r="H63" s="176">
        <v>1.6949152542372881E-2</v>
      </c>
      <c r="I63" s="392">
        <v>0</v>
      </c>
      <c r="J63" s="391">
        <v>0</v>
      </c>
      <c r="K63" s="391">
        <v>0</v>
      </c>
      <c r="L63" s="391">
        <v>0</v>
      </c>
      <c r="Q63" s="165"/>
    </row>
    <row r="64" spans="2:25" ht="21.75" customHeight="1" thickBot="1" x14ac:dyDescent="0.3">
      <c r="B64" s="798"/>
      <c r="C64" s="798"/>
      <c r="D64" s="793" t="s">
        <v>49</v>
      </c>
      <c r="E64" s="793"/>
      <c r="F64" s="793"/>
      <c r="G64" s="177">
        <v>1.5873015873015872E-2</v>
      </c>
      <c r="H64" s="177">
        <v>1.6949152542372881E-2</v>
      </c>
      <c r="I64" s="177">
        <v>0</v>
      </c>
      <c r="J64" s="393">
        <v>0</v>
      </c>
      <c r="K64" s="509">
        <v>0</v>
      </c>
      <c r="L64" s="509">
        <v>0</v>
      </c>
      <c r="Q64" s="165"/>
    </row>
    <row r="65" spans="1:27" x14ac:dyDescent="0.25">
      <c r="B65" s="3"/>
      <c r="D65" s="6"/>
      <c r="I65" s="3"/>
      <c r="L65" s="2"/>
      <c r="M65" s="2"/>
      <c r="N65" s="2"/>
      <c r="O65" s="2"/>
      <c r="T65" s="6"/>
      <c r="U65" s="6"/>
      <c r="V65" s="6"/>
      <c r="W65" s="6"/>
      <c r="X65" s="6"/>
      <c r="Y65" s="6"/>
      <c r="Z65" s="6"/>
      <c r="AA65" s="6"/>
    </row>
    <row r="66" spans="1:27" x14ac:dyDescent="0.25">
      <c r="B66" s="771" t="s">
        <v>2</v>
      </c>
      <c r="C66" s="771"/>
      <c r="D66" s="792" t="s">
        <v>43</v>
      </c>
      <c r="E66" s="792"/>
      <c r="F66" s="792"/>
      <c r="G66" s="163" t="s">
        <v>888</v>
      </c>
      <c r="H66" s="26" t="s">
        <v>953</v>
      </c>
      <c r="I66" s="26" t="s">
        <v>1125</v>
      </c>
      <c r="J66" s="26" t="s">
        <v>1229</v>
      </c>
      <c r="N66" s="2"/>
      <c r="O66" s="2"/>
      <c r="P66" s="2"/>
    </row>
    <row r="67" spans="1:27" ht="21.75" customHeight="1" thickBot="1" x14ac:dyDescent="0.3">
      <c r="B67" s="796" t="s">
        <v>904</v>
      </c>
      <c r="C67" s="796"/>
      <c r="D67" s="790" t="s">
        <v>44</v>
      </c>
      <c r="E67" s="790"/>
      <c r="F67" s="790"/>
      <c r="G67" s="176">
        <f>2/4</f>
        <v>0.5</v>
      </c>
      <c r="H67" s="391">
        <v>0.63636363636363635</v>
      </c>
      <c r="I67" s="391">
        <f>6/11</f>
        <v>0.54545454545454541</v>
      </c>
      <c r="J67" s="391">
        <v>0.66669999999999996</v>
      </c>
    </row>
    <row r="68" spans="1:27" ht="21.75" customHeight="1" thickBot="1" x14ac:dyDescent="0.3">
      <c r="B68" s="797"/>
      <c r="C68" s="797"/>
      <c r="D68" s="800" t="s">
        <v>45</v>
      </c>
      <c r="E68" s="800"/>
      <c r="F68" s="800"/>
      <c r="G68" s="392">
        <v>0</v>
      </c>
      <c r="H68" s="391">
        <v>0</v>
      </c>
      <c r="I68" s="391">
        <v>0</v>
      </c>
      <c r="J68" s="391">
        <v>0</v>
      </c>
    </row>
    <row r="69" spans="1:27" ht="21.75" customHeight="1" thickBot="1" x14ac:dyDescent="0.3">
      <c r="B69" s="797"/>
      <c r="C69" s="797"/>
      <c r="D69" s="800" t="s">
        <v>46</v>
      </c>
      <c r="E69" s="800"/>
      <c r="F69" s="800"/>
      <c r="G69" s="392">
        <v>0</v>
      </c>
      <c r="H69" s="391">
        <v>0.36363636363636365</v>
      </c>
      <c r="I69" s="391">
        <f>3/11</f>
        <v>0.27272727272727271</v>
      </c>
      <c r="J69" s="391">
        <v>0.33329999999999999</v>
      </c>
    </row>
    <row r="70" spans="1:27" ht="21.75" customHeight="1" thickBot="1" x14ac:dyDescent="0.3">
      <c r="B70" s="797"/>
      <c r="C70" s="797"/>
      <c r="D70" s="791" t="s">
        <v>47</v>
      </c>
      <c r="E70" s="791"/>
      <c r="F70" s="791"/>
      <c r="G70" s="176">
        <f>2/4</f>
        <v>0.5</v>
      </c>
      <c r="H70" s="391">
        <v>0</v>
      </c>
      <c r="I70" s="391">
        <f>1/11</f>
        <v>9.0909090909090912E-2</v>
      </c>
      <c r="J70" s="391">
        <v>0</v>
      </c>
    </row>
    <row r="71" spans="1:27" ht="21.75" customHeight="1" thickBot="1" x14ac:dyDescent="0.3">
      <c r="B71" s="797"/>
      <c r="C71" s="797"/>
      <c r="D71" s="791" t="s">
        <v>48</v>
      </c>
      <c r="E71" s="791"/>
      <c r="F71" s="791"/>
      <c r="G71" s="392">
        <v>0</v>
      </c>
      <c r="H71" s="391">
        <v>0</v>
      </c>
      <c r="I71" s="391">
        <f>1/11</f>
        <v>9.0909090909090912E-2</v>
      </c>
      <c r="J71" s="391">
        <v>0</v>
      </c>
    </row>
    <row r="72" spans="1:27" ht="21.75" customHeight="1" thickBot="1" x14ac:dyDescent="0.3">
      <c r="B72" s="798"/>
      <c r="C72" s="798"/>
      <c r="D72" s="793" t="s">
        <v>49</v>
      </c>
      <c r="E72" s="793"/>
      <c r="F72" s="793"/>
      <c r="G72" s="177">
        <v>0</v>
      </c>
      <c r="H72" s="393">
        <v>0</v>
      </c>
      <c r="I72" s="393">
        <v>0</v>
      </c>
      <c r="J72" s="393">
        <v>0</v>
      </c>
    </row>
    <row r="73" spans="1:27" x14ac:dyDescent="0.25">
      <c r="B73" s="3" t="s">
        <v>1922</v>
      </c>
      <c r="D73" s="6"/>
      <c r="L73" s="2"/>
    </row>
    <row r="74" spans="1:27" x14ac:dyDescent="0.25">
      <c r="B74" s="3" t="s">
        <v>42</v>
      </c>
      <c r="L74" s="2"/>
      <c r="M74" s="2"/>
    </row>
    <row r="75" spans="1:27" x14ac:dyDescent="0.25">
      <c r="B75" s="7"/>
      <c r="D75" s="6"/>
      <c r="L75" s="2"/>
      <c r="M75" s="2"/>
    </row>
    <row r="76" spans="1:27" x14ac:dyDescent="0.25">
      <c r="L76" s="2"/>
      <c r="M76" s="2"/>
    </row>
    <row r="77" spans="1:27" x14ac:dyDescent="0.25">
      <c r="A77" s="553"/>
      <c r="B77" s="830" t="s">
        <v>50</v>
      </c>
      <c r="C77" s="830"/>
      <c r="D77" s="830"/>
      <c r="E77" s="830"/>
      <c r="F77" s="830"/>
      <c r="G77" s="830"/>
      <c r="H77" s="830"/>
      <c r="I77" s="830"/>
      <c r="J77" s="830"/>
      <c r="K77" s="830"/>
      <c r="L77" s="830"/>
      <c r="M77" s="5"/>
    </row>
    <row r="78" spans="1:27" x14ac:dyDescent="0.25">
      <c r="B78" s="771" t="s">
        <v>2</v>
      </c>
      <c r="C78" s="771"/>
      <c r="D78" s="792" t="s">
        <v>43</v>
      </c>
      <c r="E78" s="792"/>
      <c r="F78" s="792"/>
      <c r="G78" s="163" t="s">
        <v>5</v>
      </c>
      <c r="H78" s="163" t="s">
        <v>6</v>
      </c>
      <c r="I78" s="163" t="s">
        <v>888</v>
      </c>
      <c r="J78" s="26" t="s">
        <v>953</v>
      </c>
      <c r="K78" s="163" t="s">
        <v>1125</v>
      </c>
      <c r="L78" s="26" t="s">
        <v>1229</v>
      </c>
    </row>
    <row r="79" spans="1:27" ht="21.75" customHeight="1" thickBot="1" x14ac:dyDescent="0.3">
      <c r="B79" s="796" t="s">
        <v>7</v>
      </c>
      <c r="C79" s="796"/>
      <c r="D79" s="790" t="s">
        <v>44</v>
      </c>
      <c r="E79" s="790"/>
      <c r="F79" s="790"/>
      <c r="G79" s="178">
        <v>6.23</v>
      </c>
      <c r="H79" s="178">
        <v>6.1</v>
      </c>
      <c r="I79" s="178">
        <v>6.02</v>
      </c>
      <c r="J79" s="27">
        <v>6.22</v>
      </c>
      <c r="K79" s="510">
        <v>6.46</v>
      </c>
      <c r="L79" s="178">
        <v>6.06</v>
      </c>
    </row>
    <row r="80" spans="1:27" ht="15.75" customHeight="1" thickBot="1" x14ac:dyDescent="0.3">
      <c r="B80" s="797"/>
      <c r="C80" s="797"/>
      <c r="D80" s="800" t="s">
        <v>45</v>
      </c>
      <c r="E80" s="800"/>
      <c r="F80" s="800"/>
      <c r="G80" s="179">
        <v>8.1</v>
      </c>
      <c r="H80" s="179" t="s">
        <v>51</v>
      </c>
      <c r="I80" s="179" t="s">
        <v>51</v>
      </c>
      <c r="J80" s="25">
        <v>6</v>
      </c>
      <c r="K80" s="511">
        <v>6.62</v>
      </c>
      <c r="L80" s="179" t="s">
        <v>51</v>
      </c>
      <c r="S80" s="8"/>
      <c r="T80" s="8"/>
      <c r="U80" s="8"/>
      <c r="V80" s="8"/>
      <c r="W80" s="8"/>
      <c r="X80" s="8"/>
    </row>
    <row r="81" spans="2:24" ht="15.75" customHeight="1" thickBot="1" x14ac:dyDescent="0.3">
      <c r="B81" s="797"/>
      <c r="C81" s="797"/>
      <c r="D81" s="800" t="s">
        <v>46</v>
      </c>
      <c r="E81" s="800"/>
      <c r="F81" s="800"/>
      <c r="G81" s="179">
        <v>6.76</v>
      </c>
      <c r="H81" s="179">
        <v>7.22</v>
      </c>
      <c r="I81" s="179">
        <v>6.96</v>
      </c>
      <c r="J81" s="25">
        <v>7.15</v>
      </c>
      <c r="K81" s="511">
        <v>7.08</v>
      </c>
      <c r="L81" s="179">
        <v>7.65</v>
      </c>
      <c r="S81" s="8"/>
      <c r="T81" s="8"/>
      <c r="U81" s="8"/>
      <c r="V81" s="8"/>
      <c r="W81" s="8"/>
      <c r="X81" s="8"/>
    </row>
    <row r="82" spans="2:24" ht="21.75" customHeight="1" thickBot="1" x14ac:dyDescent="0.3">
      <c r="B82" s="797"/>
      <c r="C82" s="797"/>
      <c r="D82" s="791" t="s">
        <v>47</v>
      </c>
      <c r="E82" s="791"/>
      <c r="F82" s="791"/>
      <c r="G82" s="179">
        <v>6.24</v>
      </c>
      <c r="H82" s="179">
        <v>5.62</v>
      </c>
      <c r="I82" s="179">
        <v>6.45</v>
      </c>
      <c r="J82" s="25" t="s">
        <v>51</v>
      </c>
      <c r="K82" s="511" t="s">
        <v>51</v>
      </c>
      <c r="L82" s="179">
        <v>7.26</v>
      </c>
      <c r="S82" s="8"/>
      <c r="T82" s="8"/>
      <c r="U82" s="8"/>
      <c r="V82" s="8"/>
      <c r="W82" s="8"/>
      <c r="X82" s="8"/>
    </row>
    <row r="83" spans="2:24" ht="21.75" customHeight="1" thickBot="1" x14ac:dyDescent="0.3">
      <c r="B83" s="797"/>
      <c r="C83" s="797"/>
      <c r="D83" s="791" t="s">
        <v>48</v>
      </c>
      <c r="E83" s="791"/>
      <c r="F83" s="791"/>
      <c r="G83" s="179" t="s">
        <v>51</v>
      </c>
      <c r="H83" s="179">
        <v>7.39</v>
      </c>
      <c r="I83" s="179" t="s">
        <v>51</v>
      </c>
      <c r="J83" s="25" t="s">
        <v>51</v>
      </c>
      <c r="K83" s="511" t="s">
        <v>51</v>
      </c>
      <c r="L83" s="179">
        <v>6.89</v>
      </c>
      <c r="S83" s="8"/>
      <c r="T83" s="8"/>
      <c r="U83" s="8"/>
      <c r="V83" s="8"/>
      <c r="W83" s="8"/>
      <c r="X83" s="8"/>
    </row>
    <row r="84" spans="2:24" ht="21.75" customHeight="1" thickBot="1" x14ac:dyDescent="0.3">
      <c r="B84" s="797"/>
      <c r="C84" s="797"/>
      <c r="D84" s="791" t="s">
        <v>49</v>
      </c>
      <c r="E84" s="791"/>
      <c r="F84" s="791"/>
      <c r="G84" s="179" t="s">
        <v>51</v>
      </c>
      <c r="H84" s="179" t="s">
        <v>51</v>
      </c>
      <c r="I84" s="179" t="s">
        <v>51</v>
      </c>
      <c r="J84" s="25" t="s">
        <v>51</v>
      </c>
      <c r="K84" s="511" t="s">
        <v>51</v>
      </c>
      <c r="L84" s="179" t="s">
        <v>51</v>
      </c>
    </row>
    <row r="85" spans="2:24" ht="21.75" customHeight="1" thickBot="1" x14ac:dyDescent="0.3">
      <c r="B85" s="797"/>
      <c r="C85" s="797"/>
      <c r="D85" s="401" t="s">
        <v>940</v>
      </c>
      <c r="E85" s="401"/>
      <c r="F85" s="401"/>
      <c r="G85" s="402" t="s">
        <v>51</v>
      </c>
      <c r="H85" s="402" t="s">
        <v>51</v>
      </c>
      <c r="I85" s="402">
        <v>5</v>
      </c>
      <c r="J85" s="25" t="s">
        <v>51</v>
      </c>
      <c r="K85" s="512" t="s">
        <v>51</v>
      </c>
      <c r="L85" s="179" t="s">
        <v>51</v>
      </c>
    </row>
    <row r="86" spans="2:24" ht="15.75" thickBot="1" x14ac:dyDescent="0.3">
      <c r="B86" s="797"/>
      <c r="C86" s="797"/>
      <c r="D86" s="794"/>
      <c r="E86" s="794"/>
      <c r="F86" s="794"/>
      <c r="G86" s="268"/>
      <c r="H86" s="268"/>
      <c r="I86" s="268"/>
      <c r="J86" s="268"/>
      <c r="K86" s="513"/>
      <c r="L86" s="670"/>
    </row>
    <row r="87" spans="2:24" ht="15.75" customHeight="1" thickBot="1" x14ac:dyDescent="0.3">
      <c r="B87" s="797"/>
      <c r="C87" s="797"/>
      <c r="D87" s="795" t="s">
        <v>52</v>
      </c>
      <c r="E87" s="795"/>
      <c r="F87" s="795"/>
      <c r="G87" s="179">
        <v>6.83</v>
      </c>
      <c r="H87" s="179">
        <v>6.54</v>
      </c>
      <c r="I87" s="179">
        <v>6.11</v>
      </c>
      <c r="J87" s="179">
        <v>6.46</v>
      </c>
      <c r="K87" s="511">
        <v>6.06</v>
      </c>
      <c r="L87" s="179">
        <v>6.97</v>
      </c>
    </row>
    <row r="88" spans="2:24" ht="23.25" customHeight="1" thickBot="1" x14ac:dyDescent="0.3">
      <c r="B88" s="798"/>
      <c r="C88" s="798"/>
      <c r="D88" s="793" t="s">
        <v>53</v>
      </c>
      <c r="E88" s="793"/>
      <c r="F88" s="793"/>
      <c r="G88" s="180">
        <v>5</v>
      </c>
      <c r="H88" s="180">
        <v>5</v>
      </c>
      <c r="I88" s="180">
        <v>5.16</v>
      </c>
      <c r="J88" s="514">
        <v>6.52</v>
      </c>
      <c r="K88" s="514">
        <v>6.16</v>
      </c>
      <c r="L88" s="180">
        <v>5.19</v>
      </c>
    </row>
    <row r="89" spans="2:24" x14ac:dyDescent="0.25">
      <c r="L89" s="2"/>
      <c r="M89" s="2"/>
    </row>
    <row r="90" spans="2:24" x14ac:dyDescent="0.25">
      <c r="B90" s="771" t="s">
        <v>2</v>
      </c>
      <c r="C90" s="771"/>
      <c r="D90" s="792" t="s">
        <v>43</v>
      </c>
      <c r="E90" s="792"/>
      <c r="F90" s="792"/>
      <c r="G90" s="163" t="s">
        <v>5</v>
      </c>
      <c r="H90" s="163" t="s">
        <v>6</v>
      </c>
      <c r="I90" s="163" t="s">
        <v>888</v>
      </c>
      <c r="J90" s="26" t="s">
        <v>953</v>
      </c>
      <c r="K90" s="163" t="s">
        <v>1125</v>
      </c>
      <c r="L90" s="26" t="s">
        <v>1229</v>
      </c>
    </row>
    <row r="91" spans="2:24" ht="21.75" customHeight="1" thickBot="1" x14ac:dyDescent="0.3">
      <c r="B91" s="796" t="s">
        <v>8</v>
      </c>
      <c r="C91" s="796"/>
      <c r="D91" s="790" t="s">
        <v>44</v>
      </c>
      <c r="E91" s="790"/>
      <c r="F91" s="790"/>
      <c r="G91" s="178">
        <v>6.56</v>
      </c>
      <c r="H91" s="178">
        <v>6.0313043478260866</v>
      </c>
      <c r="I91" s="178">
        <v>6.59</v>
      </c>
      <c r="J91" s="27">
        <v>6.82</v>
      </c>
      <c r="K91" s="510">
        <v>6.63</v>
      </c>
      <c r="L91" s="178">
        <v>6.66</v>
      </c>
    </row>
    <row r="92" spans="2:24" ht="15.75" customHeight="1" thickBot="1" x14ac:dyDescent="0.3">
      <c r="B92" s="797"/>
      <c r="C92" s="797"/>
      <c r="D92" s="800" t="s">
        <v>45</v>
      </c>
      <c r="E92" s="800"/>
      <c r="F92" s="800"/>
      <c r="G92" s="179">
        <v>7.75</v>
      </c>
      <c r="H92" s="179">
        <v>7.5850000000000009</v>
      </c>
      <c r="I92" s="179" t="s">
        <v>51</v>
      </c>
      <c r="J92" s="25">
        <v>5</v>
      </c>
      <c r="K92" s="511">
        <v>9.27</v>
      </c>
      <c r="L92" s="179" t="s">
        <v>51</v>
      </c>
    </row>
    <row r="93" spans="2:24" ht="15.75" customHeight="1" thickBot="1" x14ac:dyDescent="0.3">
      <c r="B93" s="797"/>
      <c r="C93" s="797"/>
      <c r="D93" s="800" t="s">
        <v>46</v>
      </c>
      <c r="E93" s="800"/>
      <c r="F93" s="800"/>
      <c r="G93" s="179">
        <v>7.16</v>
      </c>
      <c r="H93" s="179">
        <v>6.9185714285714282</v>
      </c>
      <c r="I93" s="179">
        <v>6.79</v>
      </c>
      <c r="J93" s="478">
        <v>7.64</v>
      </c>
      <c r="K93" s="511">
        <v>6.74</v>
      </c>
      <c r="L93" s="179">
        <v>7.54</v>
      </c>
    </row>
    <row r="94" spans="2:24" ht="21.75" customHeight="1" thickBot="1" x14ac:dyDescent="0.3">
      <c r="B94" s="797"/>
      <c r="C94" s="797"/>
      <c r="D94" s="791" t="s">
        <v>47</v>
      </c>
      <c r="E94" s="791"/>
      <c r="F94" s="791"/>
      <c r="G94" s="179">
        <v>5.97</v>
      </c>
      <c r="H94" s="179">
        <v>5.8250000000000002</v>
      </c>
      <c r="I94" s="179">
        <v>6.06</v>
      </c>
      <c r="J94" s="25">
        <v>6.49</v>
      </c>
      <c r="K94" s="511">
        <v>6.79</v>
      </c>
      <c r="L94" s="179">
        <v>7.26</v>
      </c>
    </row>
    <row r="95" spans="2:24" ht="21.75" customHeight="1" thickBot="1" x14ac:dyDescent="0.3">
      <c r="B95" s="797"/>
      <c r="C95" s="797"/>
      <c r="D95" s="791" t="s">
        <v>48</v>
      </c>
      <c r="E95" s="791"/>
      <c r="F95" s="791"/>
      <c r="G95" s="179">
        <v>6.57</v>
      </c>
      <c r="H95" s="179">
        <v>7.98</v>
      </c>
      <c r="I95" s="179" t="s">
        <v>51</v>
      </c>
      <c r="J95" s="25" t="s">
        <v>51</v>
      </c>
      <c r="K95" s="511"/>
      <c r="L95" s="179">
        <v>6.89</v>
      </c>
      <c r="P95" s="165"/>
    </row>
    <row r="96" spans="2:24" ht="15.75" customHeight="1" thickBot="1" x14ac:dyDescent="0.3">
      <c r="B96" s="797"/>
      <c r="C96" s="797"/>
      <c r="D96" s="793" t="s">
        <v>49</v>
      </c>
      <c r="E96" s="793"/>
      <c r="F96" s="793"/>
      <c r="G96" s="180">
        <v>5</v>
      </c>
      <c r="H96" s="180">
        <v>8.25</v>
      </c>
      <c r="I96" s="180" t="s">
        <v>51</v>
      </c>
      <c r="J96" s="25" t="s">
        <v>51</v>
      </c>
      <c r="K96" s="514"/>
      <c r="L96" s="179" t="s">
        <v>51</v>
      </c>
      <c r="P96" s="165"/>
    </row>
    <row r="97" spans="2:16" ht="15.75" thickBot="1" x14ac:dyDescent="0.3">
      <c r="B97" s="797"/>
      <c r="C97" s="797"/>
      <c r="D97" s="794"/>
      <c r="E97" s="794"/>
      <c r="F97" s="794"/>
      <c r="G97" s="268"/>
      <c r="H97" s="268"/>
      <c r="I97" s="268"/>
      <c r="J97" s="268"/>
      <c r="K97" s="268"/>
      <c r="L97" s="268"/>
      <c r="P97" s="165"/>
    </row>
    <row r="98" spans="2:16" ht="15.75" customHeight="1" thickBot="1" x14ac:dyDescent="0.3">
      <c r="B98" s="797"/>
      <c r="C98" s="797"/>
      <c r="D98" s="795" t="s">
        <v>52</v>
      </c>
      <c r="E98" s="795"/>
      <c r="F98" s="795"/>
      <c r="G98" s="179">
        <v>6.63</v>
      </c>
      <c r="H98" s="179">
        <v>6.25</v>
      </c>
      <c r="I98" s="179" t="s">
        <v>51</v>
      </c>
      <c r="J98" s="179">
        <v>6.49</v>
      </c>
      <c r="K98" s="511">
        <v>6.7</v>
      </c>
      <c r="L98" s="179">
        <v>7.09</v>
      </c>
      <c r="P98" s="407"/>
    </row>
    <row r="99" spans="2:16" ht="21.75" customHeight="1" thickBot="1" x14ac:dyDescent="0.3">
      <c r="B99" s="798"/>
      <c r="C99" s="798"/>
      <c r="D99" s="793" t="s">
        <v>53</v>
      </c>
      <c r="E99" s="793"/>
      <c r="F99" s="793"/>
      <c r="G99" s="180">
        <v>5</v>
      </c>
      <c r="H99" s="180">
        <v>5</v>
      </c>
      <c r="I99" s="180">
        <v>6.26</v>
      </c>
      <c r="J99" s="180">
        <v>6.86</v>
      </c>
      <c r="K99" s="514">
        <v>6.7</v>
      </c>
      <c r="L99" s="180">
        <v>6.68</v>
      </c>
      <c r="P99" s="407"/>
    </row>
    <row r="100" spans="2:16" x14ac:dyDescent="0.25">
      <c r="B100" s="7"/>
      <c r="L100" s="2"/>
      <c r="M100" s="2"/>
    </row>
    <row r="101" spans="2:16" x14ac:dyDescent="0.25">
      <c r="B101" s="771" t="s">
        <v>2</v>
      </c>
      <c r="C101" s="771"/>
      <c r="D101" s="792" t="s">
        <v>43</v>
      </c>
      <c r="E101" s="792"/>
      <c r="F101" s="792"/>
      <c r="G101" s="163" t="s">
        <v>888</v>
      </c>
      <c r="H101" s="26" t="s">
        <v>953</v>
      </c>
      <c r="I101" s="26" t="s">
        <v>1125</v>
      </c>
      <c r="J101" s="26" t="s">
        <v>1229</v>
      </c>
    </row>
    <row r="102" spans="2:16" ht="21.75" customHeight="1" thickBot="1" x14ac:dyDescent="0.3">
      <c r="B102" s="796" t="s">
        <v>904</v>
      </c>
      <c r="C102" s="796"/>
      <c r="D102" s="790" t="s">
        <v>44</v>
      </c>
      <c r="E102" s="790"/>
      <c r="F102" s="790"/>
      <c r="G102" s="178">
        <v>5.99</v>
      </c>
      <c r="H102" s="473">
        <v>6.66</v>
      </c>
      <c r="I102" s="473">
        <v>5.69</v>
      </c>
      <c r="J102" s="27">
        <v>5.93</v>
      </c>
    </row>
    <row r="103" spans="2:16" ht="15.75" customHeight="1" thickBot="1" x14ac:dyDescent="0.3">
      <c r="B103" s="797"/>
      <c r="C103" s="797"/>
      <c r="D103" s="800" t="s">
        <v>45</v>
      </c>
      <c r="E103" s="800"/>
      <c r="F103" s="800"/>
      <c r="G103" s="179" t="s">
        <v>51</v>
      </c>
      <c r="H103" s="25"/>
      <c r="I103" s="478">
        <v>5.42</v>
      </c>
      <c r="J103" s="179" t="s">
        <v>51</v>
      </c>
    </row>
    <row r="104" spans="2:16" ht="15.75" customHeight="1" thickBot="1" x14ac:dyDescent="0.3">
      <c r="B104" s="797"/>
      <c r="C104" s="797"/>
      <c r="D104" s="800" t="s">
        <v>46</v>
      </c>
      <c r="E104" s="800"/>
      <c r="F104" s="800"/>
      <c r="G104" s="179">
        <v>7.01</v>
      </c>
      <c r="H104" s="25">
        <v>6.66</v>
      </c>
      <c r="I104" s="478"/>
      <c r="J104" s="25">
        <v>7.46</v>
      </c>
    </row>
    <row r="105" spans="2:16" ht="21.75" customHeight="1" thickBot="1" x14ac:dyDescent="0.3">
      <c r="B105" s="797"/>
      <c r="C105" s="797"/>
      <c r="D105" s="791" t="s">
        <v>47</v>
      </c>
      <c r="E105" s="791"/>
      <c r="F105" s="791"/>
      <c r="G105" s="179" t="s">
        <v>51</v>
      </c>
      <c r="H105" s="25" t="s">
        <v>51</v>
      </c>
      <c r="I105" s="478">
        <v>8.67</v>
      </c>
      <c r="J105" s="179" t="s">
        <v>51</v>
      </c>
    </row>
    <row r="106" spans="2:16" ht="21.75" customHeight="1" thickBot="1" x14ac:dyDescent="0.3">
      <c r="B106" s="797"/>
      <c r="C106" s="797"/>
      <c r="D106" s="791" t="s">
        <v>48</v>
      </c>
      <c r="E106" s="791"/>
      <c r="F106" s="791"/>
      <c r="G106" s="179" t="s">
        <v>51</v>
      </c>
      <c r="H106" s="25" t="s">
        <v>51</v>
      </c>
      <c r="I106" s="478">
        <v>7.55</v>
      </c>
      <c r="J106" s="179" t="s">
        <v>51</v>
      </c>
    </row>
    <row r="107" spans="2:16" ht="15.75" customHeight="1" thickBot="1" x14ac:dyDescent="0.3">
      <c r="B107" s="797"/>
      <c r="C107" s="797"/>
      <c r="D107" s="793" t="s">
        <v>49</v>
      </c>
      <c r="E107" s="793"/>
      <c r="F107" s="793"/>
      <c r="G107" s="180" t="s">
        <v>51</v>
      </c>
      <c r="H107" s="25" t="s">
        <v>51</v>
      </c>
      <c r="I107" s="478"/>
      <c r="J107" s="179" t="s">
        <v>51</v>
      </c>
    </row>
    <row r="108" spans="2:16" ht="15.75" thickBot="1" x14ac:dyDescent="0.3">
      <c r="B108" s="797"/>
      <c r="C108" s="797"/>
      <c r="D108" s="794"/>
      <c r="E108" s="794"/>
      <c r="F108" s="794"/>
      <c r="G108" s="268"/>
      <c r="H108" s="268"/>
      <c r="I108" s="268"/>
      <c r="J108" s="268"/>
    </row>
    <row r="109" spans="2:16" ht="15.75" customHeight="1" thickBot="1" x14ac:dyDescent="0.3">
      <c r="B109" s="797"/>
      <c r="C109" s="797"/>
      <c r="D109" s="795" t="s">
        <v>52</v>
      </c>
      <c r="E109" s="795"/>
      <c r="F109" s="795"/>
      <c r="G109" s="179">
        <v>6.5</v>
      </c>
      <c r="H109" s="179">
        <v>6.66</v>
      </c>
      <c r="I109" s="511">
        <v>6.06</v>
      </c>
      <c r="J109" s="179">
        <v>6.6950000000000003</v>
      </c>
    </row>
    <row r="110" spans="2:16" ht="21.75" customHeight="1" thickBot="1" x14ac:dyDescent="0.3">
      <c r="B110" s="798"/>
      <c r="C110" s="798"/>
      <c r="D110" s="793" t="s">
        <v>53</v>
      </c>
      <c r="E110" s="793"/>
      <c r="F110" s="793"/>
      <c r="G110" s="180">
        <v>5</v>
      </c>
      <c r="H110" s="180">
        <v>5</v>
      </c>
      <c r="I110" s="514">
        <v>5</v>
      </c>
      <c r="J110" s="180">
        <v>5</v>
      </c>
    </row>
    <row r="111" spans="2:16" x14ac:dyDescent="0.25">
      <c r="B111" s="3" t="s">
        <v>1922</v>
      </c>
      <c r="K111" s="2"/>
      <c r="L111" s="2"/>
    </row>
    <row r="112" spans="2:16" x14ac:dyDescent="0.25">
      <c r="B112" s="3" t="s">
        <v>42</v>
      </c>
      <c r="L112" s="2"/>
      <c r="M112" s="2"/>
    </row>
    <row r="113" spans="1:17" x14ac:dyDescent="0.25">
      <c r="B113" s="7"/>
      <c r="L113" s="2"/>
      <c r="M113" s="2"/>
    </row>
    <row r="114" spans="1:17" x14ac:dyDescent="0.25">
      <c r="L114" s="2"/>
      <c r="M114" s="2"/>
    </row>
    <row r="115" spans="1:17" ht="15" customHeight="1" x14ac:dyDescent="0.25">
      <c r="A115" s="553"/>
      <c r="B115" s="799" t="s">
        <v>54</v>
      </c>
      <c r="C115" s="799"/>
      <c r="D115" s="799"/>
      <c r="E115" s="799"/>
      <c r="F115" s="799"/>
      <c r="G115" s="799"/>
      <c r="H115" s="799"/>
      <c r="I115" s="799"/>
      <c r="J115" s="799"/>
      <c r="K115" s="799"/>
      <c r="L115" s="799"/>
      <c r="N115" s="518"/>
      <c r="O115" s="518"/>
      <c r="P115" s="518"/>
      <c r="Q115" s="518"/>
    </row>
    <row r="116" spans="1:17" ht="15.75" customHeight="1" x14ac:dyDescent="0.25">
      <c r="B116" s="771" t="s">
        <v>2</v>
      </c>
      <c r="C116" s="771"/>
      <c r="D116" s="792" t="s">
        <v>55</v>
      </c>
      <c r="E116" s="792"/>
      <c r="F116" s="792"/>
      <c r="G116" s="163" t="s">
        <v>5</v>
      </c>
      <c r="H116" s="163" t="s">
        <v>6</v>
      </c>
      <c r="I116" s="163" t="s">
        <v>888</v>
      </c>
      <c r="J116" s="26" t="s">
        <v>953</v>
      </c>
      <c r="K116" s="163" t="s">
        <v>1125</v>
      </c>
      <c r="L116" s="26" t="s">
        <v>1229</v>
      </c>
    </row>
    <row r="117" spans="1:17" ht="21" customHeight="1" thickBot="1" x14ac:dyDescent="0.3">
      <c r="B117" s="796" t="s">
        <v>7</v>
      </c>
      <c r="C117" s="796"/>
      <c r="D117" s="790" t="s">
        <v>56</v>
      </c>
      <c r="E117" s="790"/>
      <c r="F117" s="790"/>
      <c r="G117" s="27">
        <v>1</v>
      </c>
      <c r="H117" s="27">
        <v>2</v>
      </c>
      <c r="I117" s="27">
        <v>0</v>
      </c>
      <c r="J117" s="473">
        <v>0</v>
      </c>
      <c r="K117" s="473">
        <v>0</v>
      </c>
      <c r="L117" s="27">
        <v>0</v>
      </c>
    </row>
    <row r="118" spans="1:17" ht="28.5" customHeight="1" thickBot="1" x14ac:dyDescent="0.3">
      <c r="B118" s="797"/>
      <c r="C118" s="797"/>
      <c r="D118" s="791" t="s">
        <v>57</v>
      </c>
      <c r="E118" s="791"/>
      <c r="F118" s="791"/>
      <c r="G118" s="25">
        <v>1</v>
      </c>
      <c r="H118" s="181">
        <v>10</v>
      </c>
      <c r="I118" s="181">
        <v>10</v>
      </c>
      <c r="J118" s="515">
        <v>18</v>
      </c>
      <c r="K118" s="478">
        <v>16</v>
      </c>
      <c r="L118" s="25">
        <v>12</v>
      </c>
    </row>
    <row r="119" spans="1:17" ht="22.5" customHeight="1" thickBot="1" x14ac:dyDescent="0.3">
      <c r="B119" s="798"/>
      <c r="C119" s="798"/>
      <c r="D119" s="802" t="s">
        <v>58</v>
      </c>
      <c r="E119" s="802"/>
      <c r="F119" s="802"/>
      <c r="G119" s="28">
        <v>33</v>
      </c>
      <c r="H119" s="182">
        <v>28</v>
      </c>
      <c r="I119" s="182">
        <v>45</v>
      </c>
      <c r="J119" s="516">
        <v>34</v>
      </c>
      <c r="K119" s="517">
        <v>35</v>
      </c>
      <c r="L119" s="28">
        <v>29</v>
      </c>
    </row>
    <row r="120" spans="1:17" x14ac:dyDescent="0.25">
      <c r="B120" s="19"/>
      <c r="C120" s="29"/>
      <c r="D120" s="30"/>
      <c r="E120" s="30"/>
      <c r="F120" s="30"/>
      <c r="G120" s="30"/>
      <c r="H120" s="30"/>
      <c r="I120" s="30"/>
      <c r="J120" s="30"/>
      <c r="K120" s="30"/>
      <c r="L120" s="2"/>
      <c r="M120" s="2"/>
    </row>
    <row r="121" spans="1:17" x14ac:dyDescent="0.25">
      <c r="B121" s="771" t="s">
        <v>2</v>
      </c>
      <c r="C121" s="771"/>
      <c r="D121" s="792" t="s">
        <v>55</v>
      </c>
      <c r="E121" s="792"/>
      <c r="F121" s="792"/>
      <c r="G121" s="163" t="s">
        <v>5</v>
      </c>
      <c r="H121" s="163" t="s">
        <v>6</v>
      </c>
      <c r="I121" s="163" t="s">
        <v>888</v>
      </c>
      <c r="J121" s="26" t="s">
        <v>953</v>
      </c>
      <c r="K121" s="163" t="s">
        <v>1125</v>
      </c>
      <c r="L121" s="26" t="s">
        <v>1229</v>
      </c>
    </row>
    <row r="122" spans="1:17" ht="21.75" customHeight="1" thickBot="1" x14ac:dyDescent="0.3">
      <c r="B122" s="796" t="s">
        <v>8</v>
      </c>
      <c r="C122" s="796"/>
      <c r="D122" s="790" t="s">
        <v>56</v>
      </c>
      <c r="E122" s="790"/>
      <c r="F122" s="790"/>
      <c r="G122" s="27">
        <v>0</v>
      </c>
      <c r="H122" s="27">
        <v>0</v>
      </c>
      <c r="I122" s="27">
        <v>0</v>
      </c>
      <c r="J122" s="27">
        <v>0</v>
      </c>
      <c r="K122" s="473">
        <v>0</v>
      </c>
      <c r="L122" s="27">
        <v>0</v>
      </c>
    </row>
    <row r="123" spans="1:17" ht="21.75" customHeight="1" thickBot="1" x14ac:dyDescent="0.3">
      <c r="B123" s="797"/>
      <c r="C123" s="797"/>
      <c r="D123" s="791" t="s">
        <v>57</v>
      </c>
      <c r="E123" s="791"/>
      <c r="F123" s="791"/>
      <c r="G123" s="25">
        <v>6</v>
      </c>
      <c r="H123" s="181">
        <v>3</v>
      </c>
      <c r="I123" s="181">
        <v>1</v>
      </c>
      <c r="J123" s="181">
        <v>5</v>
      </c>
      <c r="K123" s="478">
        <v>0</v>
      </c>
      <c r="L123" s="25">
        <v>4</v>
      </c>
    </row>
    <row r="124" spans="1:17" ht="21.75" customHeight="1" thickBot="1" x14ac:dyDescent="0.3">
      <c r="B124" s="798"/>
      <c r="C124" s="798"/>
      <c r="D124" s="802" t="s">
        <v>58</v>
      </c>
      <c r="E124" s="802"/>
      <c r="F124" s="802"/>
      <c r="G124" s="28">
        <v>57</v>
      </c>
      <c r="H124" s="182">
        <v>56</v>
      </c>
      <c r="I124" s="182">
        <v>47</v>
      </c>
      <c r="J124" s="182">
        <v>57</v>
      </c>
      <c r="K124" s="517">
        <v>61</v>
      </c>
      <c r="L124" s="28">
        <v>61</v>
      </c>
    </row>
    <row r="125" spans="1:17" x14ac:dyDescent="0.25">
      <c r="B125" s="280"/>
      <c r="C125" s="280"/>
      <c r="D125" s="281"/>
      <c r="E125" s="281"/>
      <c r="F125" s="281"/>
      <c r="G125" s="165"/>
      <c r="H125" s="165"/>
      <c r="I125" s="165"/>
      <c r="J125" s="165"/>
      <c r="K125" s="165"/>
    </row>
    <row r="126" spans="1:17" x14ac:dyDescent="0.25">
      <c r="B126" s="771" t="s">
        <v>2</v>
      </c>
      <c r="C126" s="771"/>
      <c r="D126" s="792" t="s">
        <v>55</v>
      </c>
      <c r="E126" s="792"/>
      <c r="F126" s="792"/>
      <c r="G126" s="163" t="s">
        <v>888</v>
      </c>
      <c r="H126" s="26" t="s">
        <v>953</v>
      </c>
      <c r="I126" s="26" t="s">
        <v>1125</v>
      </c>
      <c r="J126" s="26" t="s">
        <v>1229</v>
      </c>
    </row>
    <row r="127" spans="1:17" ht="21.75" customHeight="1" thickBot="1" x14ac:dyDescent="0.3">
      <c r="B127" s="796" t="s">
        <v>904</v>
      </c>
      <c r="C127" s="796"/>
      <c r="D127" s="790" t="s">
        <v>56</v>
      </c>
      <c r="E127" s="790"/>
      <c r="F127" s="790"/>
      <c r="G127" s="27">
        <v>0</v>
      </c>
      <c r="H127" s="27">
        <v>0</v>
      </c>
      <c r="I127" s="473">
        <v>0</v>
      </c>
      <c r="J127" s="27">
        <v>0</v>
      </c>
    </row>
    <row r="128" spans="1:17" ht="21.75" customHeight="1" thickBot="1" x14ac:dyDescent="0.3">
      <c r="B128" s="797"/>
      <c r="C128" s="797"/>
      <c r="D128" s="791" t="s">
        <v>57</v>
      </c>
      <c r="E128" s="791"/>
      <c r="F128" s="791"/>
      <c r="G128" s="181">
        <v>0</v>
      </c>
      <c r="H128" s="181">
        <v>0</v>
      </c>
      <c r="I128" s="515">
        <v>0</v>
      </c>
      <c r="J128" s="181">
        <v>0</v>
      </c>
    </row>
    <row r="129" spans="2:13" ht="21.75" customHeight="1" thickBot="1" x14ac:dyDescent="0.3">
      <c r="B129" s="798"/>
      <c r="C129" s="798"/>
      <c r="D129" s="802" t="s">
        <v>58</v>
      </c>
      <c r="E129" s="802"/>
      <c r="F129" s="802"/>
      <c r="G129" s="182">
        <v>4</v>
      </c>
      <c r="H129" s="182">
        <v>11</v>
      </c>
      <c r="I129" s="516">
        <v>11</v>
      </c>
      <c r="J129" s="182">
        <v>6</v>
      </c>
    </row>
    <row r="130" spans="2:13" ht="15.75" customHeight="1" x14ac:dyDescent="0.25">
      <c r="B130" s="3" t="s">
        <v>1922</v>
      </c>
    </row>
    <row r="131" spans="2:13" x14ac:dyDescent="0.25">
      <c r="B131" s="3" t="s">
        <v>42</v>
      </c>
      <c r="L131" s="2"/>
      <c r="M131" s="2"/>
    </row>
    <row r="132" spans="2:13" x14ac:dyDescent="0.25">
      <c r="B132" s="7"/>
      <c r="L132" s="2"/>
      <c r="M132" s="2"/>
    </row>
    <row r="133" spans="2:13" x14ac:dyDescent="0.25">
      <c r="L133" s="2"/>
      <c r="M133" s="2"/>
    </row>
    <row r="134" spans="2:13" x14ac:dyDescent="0.25">
      <c r="B134" s="818" t="s">
        <v>59</v>
      </c>
      <c r="C134" s="818"/>
      <c r="D134" s="818"/>
      <c r="E134" s="818"/>
      <c r="F134" s="818"/>
      <c r="G134" s="818"/>
      <c r="H134" s="818"/>
      <c r="I134" s="818"/>
      <c r="J134" s="818"/>
      <c r="K134" s="818"/>
      <c r="M134" s="2"/>
    </row>
    <row r="135" spans="2:13" ht="21.75" customHeight="1" x14ac:dyDescent="0.25">
      <c r="B135" s="771" t="s">
        <v>2</v>
      </c>
      <c r="C135" s="771"/>
      <c r="D135" s="771" t="s">
        <v>60</v>
      </c>
      <c r="E135" s="771"/>
      <c r="F135" s="163" t="s">
        <v>5</v>
      </c>
      <c r="G135" s="163" t="s">
        <v>6</v>
      </c>
      <c r="H135" s="163" t="s">
        <v>888</v>
      </c>
      <c r="I135" s="163" t="s">
        <v>953</v>
      </c>
      <c r="J135" s="163" t="s">
        <v>1125</v>
      </c>
      <c r="K135" s="26" t="s">
        <v>1229</v>
      </c>
    </row>
    <row r="136" spans="2:13" ht="13.5" customHeight="1" thickBot="1" x14ac:dyDescent="0.3">
      <c r="B136" s="797" t="s">
        <v>7</v>
      </c>
      <c r="C136" s="797"/>
      <c r="D136" s="801" t="s">
        <v>61</v>
      </c>
      <c r="E136" s="801"/>
      <c r="F136" s="25">
        <v>15</v>
      </c>
      <c r="G136" s="25">
        <v>14</v>
      </c>
      <c r="H136" s="25">
        <v>19</v>
      </c>
      <c r="I136" s="478">
        <v>11</v>
      </c>
      <c r="J136" s="478">
        <v>10</v>
      </c>
      <c r="K136" s="25">
        <v>13</v>
      </c>
    </row>
    <row r="137" spans="2:13" ht="15.75" thickBot="1" x14ac:dyDescent="0.3">
      <c r="B137" s="797"/>
      <c r="C137" s="797"/>
      <c r="D137" s="804" t="s">
        <v>62</v>
      </c>
      <c r="E137" s="804"/>
      <c r="F137" s="25">
        <v>12</v>
      </c>
      <c r="G137" s="25">
        <v>14</v>
      </c>
      <c r="H137" s="25">
        <v>21</v>
      </c>
      <c r="I137" s="478">
        <v>26</v>
      </c>
      <c r="J137" s="478">
        <v>20</v>
      </c>
      <c r="K137" s="25">
        <v>16</v>
      </c>
    </row>
    <row r="138" spans="2:13" ht="15.75" thickBot="1" x14ac:dyDescent="0.3">
      <c r="B138" s="797"/>
      <c r="C138" s="797"/>
      <c r="D138" s="804" t="s">
        <v>63</v>
      </c>
      <c r="E138" s="804"/>
      <c r="F138" s="25">
        <v>5</v>
      </c>
      <c r="G138" s="25">
        <v>9</v>
      </c>
      <c r="H138" s="25">
        <v>12</v>
      </c>
      <c r="I138" s="478">
        <v>11</v>
      </c>
      <c r="J138" s="478">
        <v>18</v>
      </c>
      <c r="K138" s="25">
        <v>7</v>
      </c>
    </row>
    <row r="139" spans="2:13" ht="15.75" thickBot="1" x14ac:dyDescent="0.3">
      <c r="B139" s="797"/>
      <c r="C139" s="797"/>
      <c r="D139" s="804" t="s">
        <v>64</v>
      </c>
      <c r="E139" s="804"/>
      <c r="F139" s="25">
        <v>2</v>
      </c>
      <c r="G139" s="25">
        <v>3</v>
      </c>
      <c r="H139" s="25">
        <v>3</v>
      </c>
      <c r="I139" s="478">
        <v>4</v>
      </c>
      <c r="J139" s="478">
        <v>3</v>
      </c>
      <c r="K139" s="25">
        <v>2</v>
      </c>
    </row>
    <row r="140" spans="2:13" ht="15.75" thickBot="1" x14ac:dyDescent="0.3">
      <c r="B140" s="797"/>
      <c r="C140" s="797"/>
      <c r="D140" s="804" t="s">
        <v>65</v>
      </c>
      <c r="E140" s="804"/>
      <c r="F140" s="25">
        <v>1</v>
      </c>
      <c r="G140" s="25">
        <v>0</v>
      </c>
      <c r="H140" s="25">
        <v>0</v>
      </c>
      <c r="I140" s="478">
        <v>0</v>
      </c>
      <c r="J140" s="478">
        <v>0</v>
      </c>
      <c r="K140" s="25">
        <v>3</v>
      </c>
    </row>
    <row r="141" spans="2:13" ht="15.75" thickBot="1" x14ac:dyDescent="0.3">
      <c r="B141" s="798"/>
      <c r="C141" s="798"/>
      <c r="D141" s="805" t="s">
        <v>66</v>
      </c>
      <c r="E141" s="805"/>
      <c r="F141" s="28">
        <v>0</v>
      </c>
      <c r="G141" s="28">
        <v>0</v>
      </c>
      <c r="H141" s="28">
        <v>0</v>
      </c>
      <c r="I141" s="517">
        <v>0</v>
      </c>
      <c r="J141" s="517">
        <v>0</v>
      </c>
      <c r="K141" s="28">
        <v>0</v>
      </c>
    </row>
    <row r="142" spans="2:13" x14ac:dyDescent="0.25">
      <c r="E142" s="13"/>
      <c r="F142" s="13"/>
      <c r="G142" s="13"/>
      <c r="H142" s="13"/>
      <c r="I142" s="13"/>
      <c r="J142" s="13"/>
      <c r="K142" s="13"/>
      <c r="L142" s="2"/>
      <c r="M142" s="2"/>
    </row>
    <row r="143" spans="2:13" x14ac:dyDescent="0.25">
      <c r="B143" s="771" t="s">
        <v>2</v>
      </c>
      <c r="C143" s="771"/>
      <c r="D143" s="771" t="s">
        <v>60</v>
      </c>
      <c r="E143" s="771"/>
      <c r="F143" s="163" t="s">
        <v>5</v>
      </c>
      <c r="G143" s="163" t="s">
        <v>6</v>
      </c>
      <c r="H143" s="163" t="s">
        <v>888</v>
      </c>
      <c r="I143" s="163" t="s">
        <v>953</v>
      </c>
      <c r="J143" s="163" t="s">
        <v>1125</v>
      </c>
      <c r="K143" s="26" t="s">
        <v>1229</v>
      </c>
    </row>
    <row r="144" spans="2:13" ht="13.5" customHeight="1" thickBot="1" x14ac:dyDescent="0.3">
      <c r="B144" s="796" t="s">
        <v>8</v>
      </c>
      <c r="C144" s="796"/>
      <c r="D144" s="815" t="s">
        <v>61</v>
      </c>
      <c r="E144" s="815"/>
      <c r="F144" s="478">
        <v>18</v>
      </c>
      <c r="G144" s="478">
        <v>35</v>
      </c>
      <c r="H144" s="478">
        <v>12</v>
      </c>
      <c r="I144" s="478">
        <v>4</v>
      </c>
      <c r="J144" s="478">
        <v>7</v>
      </c>
      <c r="K144" s="478">
        <v>3</v>
      </c>
    </row>
    <row r="145" spans="2:23" ht="15.75" thickBot="1" x14ac:dyDescent="0.3">
      <c r="B145" s="797"/>
      <c r="C145" s="797"/>
      <c r="D145" s="816" t="s">
        <v>62</v>
      </c>
      <c r="E145" s="816"/>
      <c r="F145" s="478">
        <v>24</v>
      </c>
      <c r="G145" s="478">
        <v>10</v>
      </c>
      <c r="H145" s="478">
        <v>21</v>
      </c>
      <c r="I145" s="478">
        <v>32</v>
      </c>
      <c r="J145" s="478">
        <v>44</v>
      </c>
      <c r="K145" s="478">
        <v>42</v>
      </c>
    </row>
    <row r="146" spans="2:23" ht="15.75" thickBot="1" x14ac:dyDescent="0.3">
      <c r="B146" s="797"/>
      <c r="C146" s="797"/>
      <c r="D146" s="816" t="s">
        <v>63</v>
      </c>
      <c r="E146" s="816"/>
      <c r="F146" s="478">
        <v>15</v>
      </c>
      <c r="G146" s="478">
        <v>10</v>
      </c>
      <c r="H146" s="478">
        <v>11</v>
      </c>
      <c r="I146" s="478">
        <v>26</v>
      </c>
      <c r="J146" s="478">
        <v>8</v>
      </c>
      <c r="K146" s="478">
        <v>16</v>
      </c>
    </row>
    <row r="147" spans="2:23" ht="15.75" thickBot="1" x14ac:dyDescent="0.3">
      <c r="B147" s="797"/>
      <c r="C147" s="797"/>
      <c r="D147" s="816" t="s">
        <v>64</v>
      </c>
      <c r="E147" s="816"/>
      <c r="F147" s="478">
        <v>5</v>
      </c>
      <c r="G147" s="478">
        <v>4</v>
      </c>
      <c r="H147" s="478">
        <v>3</v>
      </c>
      <c r="I147" s="478">
        <v>0</v>
      </c>
      <c r="J147" s="478">
        <v>1</v>
      </c>
      <c r="K147" s="478">
        <v>4</v>
      </c>
    </row>
    <row r="148" spans="2:23" ht="15.75" thickBot="1" x14ac:dyDescent="0.3">
      <c r="B148" s="797"/>
      <c r="C148" s="797"/>
      <c r="D148" s="816" t="s">
        <v>65</v>
      </c>
      <c r="E148" s="816"/>
      <c r="F148" s="478">
        <v>1</v>
      </c>
      <c r="G148" s="478">
        <v>0</v>
      </c>
      <c r="H148" s="478">
        <v>1</v>
      </c>
      <c r="I148" s="478">
        <v>0</v>
      </c>
      <c r="J148" s="478">
        <v>1</v>
      </c>
      <c r="K148" s="478">
        <v>0</v>
      </c>
    </row>
    <row r="149" spans="2:23" ht="15.75" thickBot="1" x14ac:dyDescent="0.3">
      <c r="B149" s="798"/>
      <c r="C149" s="798"/>
      <c r="D149" s="817" t="s">
        <v>66</v>
      </c>
      <c r="E149" s="817"/>
      <c r="F149" s="517">
        <v>0</v>
      </c>
      <c r="G149" s="517">
        <v>0</v>
      </c>
      <c r="H149" s="517">
        <v>0</v>
      </c>
      <c r="I149" s="517">
        <v>0</v>
      </c>
      <c r="J149" s="517">
        <v>0</v>
      </c>
      <c r="K149" s="517">
        <v>0</v>
      </c>
    </row>
    <row r="150" spans="2:23" x14ac:dyDescent="0.25">
      <c r="B150" s="814"/>
      <c r="C150" s="814"/>
      <c r="W150" s="9"/>
    </row>
    <row r="151" spans="2:23" x14ac:dyDescent="0.25">
      <c r="B151" s="771" t="s">
        <v>2</v>
      </c>
      <c r="C151" s="771"/>
      <c r="D151" s="771" t="s">
        <v>60</v>
      </c>
      <c r="E151" s="771"/>
      <c r="F151" s="163" t="s">
        <v>888</v>
      </c>
      <c r="G151" s="163" t="s">
        <v>953</v>
      </c>
      <c r="H151" s="163" t="s">
        <v>1125</v>
      </c>
      <c r="I151" s="26" t="s">
        <v>1229</v>
      </c>
    </row>
    <row r="152" spans="2:23" ht="13.5" customHeight="1" thickBot="1" x14ac:dyDescent="0.3">
      <c r="B152" s="796" t="s">
        <v>904</v>
      </c>
      <c r="C152" s="796"/>
      <c r="D152" s="801" t="s">
        <v>61</v>
      </c>
      <c r="E152" s="801"/>
      <c r="F152" s="25">
        <v>2</v>
      </c>
      <c r="G152" s="25">
        <v>3</v>
      </c>
      <c r="H152" s="478">
        <v>7</v>
      </c>
      <c r="I152" s="25">
        <v>2</v>
      </c>
    </row>
    <row r="153" spans="2:23" ht="15.75" thickBot="1" x14ac:dyDescent="0.3">
      <c r="B153" s="797"/>
      <c r="C153" s="797"/>
      <c r="D153" s="804" t="s">
        <v>62</v>
      </c>
      <c r="E153" s="804"/>
      <c r="F153" s="25">
        <v>1</v>
      </c>
      <c r="G153" s="25">
        <v>3</v>
      </c>
      <c r="H153" s="478">
        <v>2</v>
      </c>
      <c r="I153" s="25">
        <v>3</v>
      </c>
    </row>
    <row r="154" spans="2:23" ht="15.75" thickBot="1" x14ac:dyDescent="0.3">
      <c r="B154" s="797"/>
      <c r="C154" s="797"/>
      <c r="D154" s="804" t="s">
        <v>63</v>
      </c>
      <c r="E154" s="804"/>
      <c r="F154" s="25">
        <v>0</v>
      </c>
      <c r="G154" s="25">
        <v>5</v>
      </c>
      <c r="H154" s="478">
        <v>2</v>
      </c>
      <c r="I154" s="25">
        <v>0</v>
      </c>
    </row>
    <row r="155" spans="2:23" ht="15.75" thickBot="1" x14ac:dyDescent="0.3">
      <c r="B155" s="797"/>
      <c r="C155" s="797"/>
      <c r="D155" s="804" t="s">
        <v>64</v>
      </c>
      <c r="E155" s="804"/>
      <c r="F155" s="25">
        <v>1</v>
      </c>
      <c r="G155" s="25">
        <v>0</v>
      </c>
      <c r="H155" s="478">
        <v>0</v>
      </c>
      <c r="I155" s="25">
        <v>1</v>
      </c>
    </row>
    <row r="156" spans="2:23" ht="15.75" thickBot="1" x14ac:dyDescent="0.3">
      <c r="B156" s="797"/>
      <c r="C156" s="797"/>
      <c r="D156" s="804" t="s">
        <v>65</v>
      </c>
      <c r="E156" s="804"/>
      <c r="F156" s="25">
        <v>0</v>
      </c>
      <c r="G156" s="25">
        <v>0</v>
      </c>
      <c r="H156" s="478">
        <v>0</v>
      </c>
      <c r="I156" s="25">
        <v>0</v>
      </c>
    </row>
    <row r="157" spans="2:23" ht="15.75" thickBot="1" x14ac:dyDescent="0.3">
      <c r="B157" s="798"/>
      <c r="C157" s="798"/>
      <c r="D157" s="805" t="s">
        <v>66</v>
      </c>
      <c r="E157" s="805"/>
      <c r="F157" s="28">
        <v>0</v>
      </c>
      <c r="G157" s="28">
        <v>0</v>
      </c>
      <c r="H157" s="517">
        <v>0</v>
      </c>
      <c r="I157" s="28">
        <v>0</v>
      </c>
    </row>
    <row r="158" spans="2:23" x14ac:dyDescent="0.25">
      <c r="B158" s="3" t="s">
        <v>1922</v>
      </c>
      <c r="C158" s="3"/>
    </row>
    <row r="159" spans="2:23" x14ac:dyDescent="0.25">
      <c r="B159" s="3" t="s">
        <v>42</v>
      </c>
      <c r="C159" s="3"/>
    </row>
    <row r="160" spans="2:23" x14ac:dyDescent="0.25">
      <c r="B160" s="814"/>
      <c r="C160" s="814"/>
      <c r="W160" s="9"/>
    </row>
    <row r="161" spans="2:25" x14ac:dyDescent="0.25">
      <c r="B161" s="814"/>
      <c r="C161" s="814"/>
      <c r="Y161" s="10"/>
    </row>
    <row r="162" spans="2:25" ht="12.75" customHeight="1" x14ac:dyDescent="0.25">
      <c r="B162" s="831" t="s">
        <v>974</v>
      </c>
      <c r="C162" s="831"/>
      <c r="D162" s="831"/>
      <c r="E162" s="831"/>
      <c r="F162" s="831"/>
      <c r="G162" s="831"/>
      <c r="H162" s="831"/>
      <c r="I162" s="831"/>
      <c r="J162" s="831"/>
      <c r="K162" s="831"/>
      <c r="L162" s="831"/>
      <c r="M162" s="831"/>
      <c r="N162" s="831"/>
      <c r="O162" s="831"/>
      <c r="P162" s="831"/>
      <c r="Q162" s="831"/>
      <c r="R162" s="831"/>
      <c r="S162" s="831"/>
      <c r="T162" s="831"/>
      <c r="U162" s="831"/>
      <c r="V162" s="831"/>
      <c r="W162" s="11"/>
      <c r="X162" s="12"/>
      <c r="Y162" s="13"/>
    </row>
    <row r="163" spans="2:25" x14ac:dyDescent="0.25">
      <c r="B163" s="777" t="s">
        <v>2</v>
      </c>
      <c r="C163" s="777"/>
      <c r="D163" s="777" t="s">
        <v>68</v>
      </c>
      <c r="E163" s="828" t="s">
        <v>39</v>
      </c>
      <c r="F163" s="828"/>
      <c r="G163" s="828"/>
      <c r="H163" s="828"/>
      <c r="I163" s="828"/>
      <c r="J163" s="828"/>
      <c r="K163" s="828"/>
      <c r="L163" s="828"/>
      <c r="M163" s="828"/>
      <c r="N163" s="828"/>
      <c r="O163" s="828"/>
      <c r="P163" s="828"/>
      <c r="Q163" s="828"/>
      <c r="R163" s="828"/>
      <c r="S163" s="828"/>
      <c r="T163" s="828"/>
      <c r="U163" s="828"/>
      <c r="V163" s="828"/>
      <c r="W163" s="11"/>
      <c r="X163" s="12"/>
      <c r="Y163" s="13"/>
    </row>
    <row r="164" spans="2:25" x14ac:dyDescent="0.25">
      <c r="B164" s="778"/>
      <c r="C164" s="778"/>
      <c r="D164" s="778"/>
      <c r="E164" s="803" t="s">
        <v>5</v>
      </c>
      <c r="F164" s="803"/>
      <c r="G164" s="803"/>
      <c r="H164" s="781" t="s">
        <v>6</v>
      </c>
      <c r="I164" s="781"/>
      <c r="J164" s="781"/>
      <c r="K164" s="781" t="s">
        <v>888</v>
      </c>
      <c r="L164" s="781"/>
      <c r="M164" s="781"/>
      <c r="N164" s="781" t="s">
        <v>953</v>
      </c>
      <c r="O164" s="781"/>
      <c r="P164" s="781"/>
      <c r="Q164" s="781" t="s">
        <v>1125</v>
      </c>
      <c r="R164" s="781"/>
      <c r="S164" s="781"/>
      <c r="T164" s="781" t="s">
        <v>1229</v>
      </c>
      <c r="U164" s="781"/>
      <c r="V164" s="781"/>
    </row>
    <row r="165" spans="2:25" ht="15.75" customHeight="1" x14ac:dyDescent="0.25">
      <c r="B165" s="809" t="s">
        <v>7</v>
      </c>
      <c r="C165" s="809"/>
      <c r="D165" s="257"/>
      <c r="E165" s="198" t="s">
        <v>77</v>
      </c>
      <c r="F165" s="198" t="s">
        <v>826</v>
      </c>
      <c r="G165" s="403" t="s">
        <v>827</v>
      </c>
      <c r="H165" s="198" t="s">
        <v>77</v>
      </c>
      <c r="I165" s="198" t="s">
        <v>826</v>
      </c>
      <c r="J165" s="198" t="s">
        <v>827</v>
      </c>
      <c r="K165" s="198" t="s">
        <v>77</v>
      </c>
      <c r="L165" s="198" t="s">
        <v>826</v>
      </c>
      <c r="M165" s="198" t="s">
        <v>827</v>
      </c>
      <c r="N165" s="198" t="s">
        <v>77</v>
      </c>
      <c r="O165" s="198" t="s">
        <v>826</v>
      </c>
      <c r="P165" s="198" t="s">
        <v>827</v>
      </c>
      <c r="Q165" s="198" t="s">
        <v>77</v>
      </c>
      <c r="R165" s="198" t="s">
        <v>826</v>
      </c>
      <c r="S165" s="198" t="s">
        <v>827</v>
      </c>
      <c r="T165" s="198" t="s">
        <v>77</v>
      </c>
      <c r="U165" s="198" t="s">
        <v>826</v>
      </c>
      <c r="V165" s="198" t="s">
        <v>827</v>
      </c>
    </row>
    <row r="166" spans="2:25" ht="13.5" customHeight="1" x14ac:dyDescent="0.25">
      <c r="B166" s="810"/>
      <c r="C166" s="810"/>
      <c r="D166" s="183" t="s">
        <v>70</v>
      </c>
      <c r="E166" s="185">
        <v>12</v>
      </c>
      <c r="F166" s="183">
        <v>3</v>
      </c>
      <c r="G166" s="404">
        <v>9</v>
      </c>
      <c r="H166" s="185">
        <v>12</v>
      </c>
      <c r="I166" s="183">
        <v>3</v>
      </c>
      <c r="J166" s="183">
        <v>9</v>
      </c>
      <c r="K166" s="188">
        <v>17</v>
      </c>
      <c r="L166" s="183">
        <v>3</v>
      </c>
      <c r="M166" s="183">
        <v>14</v>
      </c>
      <c r="N166" s="188">
        <v>18</v>
      </c>
      <c r="O166" s="183">
        <v>2</v>
      </c>
      <c r="P166" s="183">
        <v>16</v>
      </c>
      <c r="Q166" s="188">
        <v>20</v>
      </c>
      <c r="R166" s="183">
        <v>3</v>
      </c>
      <c r="S166" s="183">
        <v>17</v>
      </c>
      <c r="T166" s="188">
        <v>22</v>
      </c>
      <c r="U166" s="183">
        <v>4</v>
      </c>
      <c r="V166" s="183">
        <v>18</v>
      </c>
    </row>
    <row r="167" spans="2:25" x14ac:dyDescent="0.25">
      <c r="B167" s="810"/>
      <c r="C167" s="810"/>
      <c r="D167" s="183">
        <v>19</v>
      </c>
      <c r="E167" s="185">
        <v>8</v>
      </c>
      <c r="F167" s="183">
        <v>2</v>
      </c>
      <c r="G167" s="404">
        <v>6</v>
      </c>
      <c r="H167" s="185">
        <v>8</v>
      </c>
      <c r="I167" s="183">
        <v>3</v>
      </c>
      <c r="J167" s="183">
        <v>5</v>
      </c>
      <c r="K167" s="188">
        <v>15</v>
      </c>
      <c r="L167" s="183">
        <v>1</v>
      </c>
      <c r="M167" s="183">
        <v>14</v>
      </c>
      <c r="N167" s="188">
        <v>14</v>
      </c>
      <c r="O167" s="183">
        <v>2</v>
      </c>
      <c r="P167" s="183">
        <v>12</v>
      </c>
      <c r="Q167" s="188">
        <v>7</v>
      </c>
      <c r="R167" s="183">
        <v>1</v>
      </c>
      <c r="S167" s="183">
        <v>6</v>
      </c>
      <c r="T167" s="188">
        <v>7</v>
      </c>
      <c r="U167" s="183">
        <v>4</v>
      </c>
      <c r="V167" s="183">
        <v>3</v>
      </c>
    </row>
    <row r="168" spans="2:25" x14ac:dyDescent="0.25">
      <c r="B168" s="810"/>
      <c r="C168" s="810"/>
      <c r="D168" s="183">
        <v>20</v>
      </c>
      <c r="E168" s="185">
        <v>6</v>
      </c>
      <c r="F168" s="183">
        <v>1</v>
      </c>
      <c r="G168" s="404">
        <v>5</v>
      </c>
      <c r="H168" s="185">
        <v>8</v>
      </c>
      <c r="I168" s="183">
        <v>0</v>
      </c>
      <c r="J168" s="183">
        <v>8</v>
      </c>
      <c r="K168" s="188">
        <v>11</v>
      </c>
      <c r="L168" s="183">
        <v>2</v>
      </c>
      <c r="M168" s="183">
        <v>9</v>
      </c>
      <c r="N168" s="188">
        <v>5</v>
      </c>
      <c r="O168" s="183">
        <v>0</v>
      </c>
      <c r="P168" s="183">
        <v>5</v>
      </c>
      <c r="Q168" s="188">
        <v>8</v>
      </c>
      <c r="R168" s="183">
        <v>1</v>
      </c>
      <c r="S168" s="183">
        <v>7</v>
      </c>
      <c r="T168" s="188">
        <v>2</v>
      </c>
      <c r="U168" s="183">
        <v>1</v>
      </c>
      <c r="V168" s="183">
        <v>1</v>
      </c>
    </row>
    <row r="169" spans="2:25" x14ac:dyDescent="0.25">
      <c r="B169" s="810"/>
      <c r="C169" s="810"/>
      <c r="D169" s="183">
        <v>21</v>
      </c>
      <c r="E169" s="185">
        <v>4</v>
      </c>
      <c r="F169" s="183">
        <v>1</v>
      </c>
      <c r="G169" s="404">
        <v>3</v>
      </c>
      <c r="H169" s="185">
        <v>5</v>
      </c>
      <c r="I169" s="183">
        <v>1</v>
      </c>
      <c r="J169" s="183">
        <v>4</v>
      </c>
      <c r="K169" s="188">
        <v>5</v>
      </c>
      <c r="L169" s="183">
        <v>0</v>
      </c>
      <c r="M169" s="183">
        <v>5</v>
      </c>
      <c r="N169" s="188">
        <v>9</v>
      </c>
      <c r="O169" s="183">
        <v>1</v>
      </c>
      <c r="P169" s="183">
        <v>8</v>
      </c>
      <c r="Q169" s="188">
        <v>7</v>
      </c>
      <c r="R169" s="183">
        <v>0</v>
      </c>
      <c r="S169" s="183">
        <v>7</v>
      </c>
      <c r="T169" s="188">
        <v>1</v>
      </c>
      <c r="U169" s="183">
        <v>0</v>
      </c>
      <c r="V169" s="183">
        <v>1</v>
      </c>
    </row>
    <row r="170" spans="2:25" x14ac:dyDescent="0.25">
      <c r="B170" s="810"/>
      <c r="C170" s="810"/>
      <c r="D170" s="183">
        <v>22</v>
      </c>
      <c r="E170" s="185">
        <v>1</v>
      </c>
      <c r="F170" s="183">
        <v>0</v>
      </c>
      <c r="G170" s="404">
        <v>1</v>
      </c>
      <c r="H170" s="185">
        <v>1</v>
      </c>
      <c r="I170" s="183">
        <v>0</v>
      </c>
      <c r="J170" s="183">
        <v>1</v>
      </c>
      <c r="K170" s="188">
        <v>4</v>
      </c>
      <c r="L170" s="183">
        <v>1</v>
      </c>
      <c r="M170" s="183">
        <v>3</v>
      </c>
      <c r="N170" s="188">
        <v>3</v>
      </c>
      <c r="O170" s="183">
        <v>0</v>
      </c>
      <c r="P170" s="183">
        <v>3</v>
      </c>
      <c r="Q170" s="188">
        <v>1</v>
      </c>
      <c r="R170" s="183">
        <v>0</v>
      </c>
      <c r="S170" s="183">
        <v>1</v>
      </c>
      <c r="T170" s="188">
        <v>3</v>
      </c>
      <c r="U170" s="183">
        <v>0</v>
      </c>
      <c r="V170" s="183">
        <v>3</v>
      </c>
    </row>
    <row r="171" spans="2:25" x14ac:dyDescent="0.25">
      <c r="B171" s="810"/>
      <c r="C171" s="810"/>
      <c r="D171" s="183">
        <v>23</v>
      </c>
      <c r="E171" s="185">
        <v>0</v>
      </c>
      <c r="F171" s="183">
        <v>0</v>
      </c>
      <c r="G171" s="404">
        <v>0</v>
      </c>
      <c r="H171" s="185">
        <v>2</v>
      </c>
      <c r="I171" s="183">
        <v>0</v>
      </c>
      <c r="J171" s="183">
        <v>2</v>
      </c>
      <c r="K171" s="188">
        <v>1</v>
      </c>
      <c r="L171" s="183">
        <v>0</v>
      </c>
      <c r="M171" s="183">
        <v>1</v>
      </c>
      <c r="N171" s="188">
        <v>1</v>
      </c>
      <c r="O171" s="183">
        <v>0</v>
      </c>
      <c r="P171" s="183">
        <v>1</v>
      </c>
      <c r="Q171" s="188">
        <v>2</v>
      </c>
      <c r="R171" s="183">
        <v>0</v>
      </c>
      <c r="S171" s="183">
        <v>2</v>
      </c>
      <c r="T171" s="188">
        <v>2</v>
      </c>
      <c r="U171" s="183">
        <v>0</v>
      </c>
      <c r="V171" s="183">
        <v>2</v>
      </c>
    </row>
    <row r="172" spans="2:25" x14ac:dyDescent="0.25">
      <c r="B172" s="810"/>
      <c r="C172" s="810"/>
      <c r="D172" s="183">
        <v>24</v>
      </c>
      <c r="E172" s="185">
        <v>0</v>
      </c>
      <c r="F172" s="183">
        <v>0</v>
      </c>
      <c r="G172" s="404">
        <v>0</v>
      </c>
      <c r="H172" s="185">
        <v>1</v>
      </c>
      <c r="I172" s="183">
        <v>0</v>
      </c>
      <c r="J172" s="183">
        <v>1</v>
      </c>
      <c r="K172" s="188">
        <v>0</v>
      </c>
      <c r="L172" s="183">
        <v>0</v>
      </c>
      <c r="M172" s="183">
        <v>0</v>
      </c>
      <c r="N172" s="188">
        <v>1</v>
      </c>
      <c r="O172" s="183">
        <v>1</v>
      </c>
      <c r="P172" s="183">
        <v>0</v>
      </c>
      <c r="Q172" s="188">
        <v>3</v>
      </c>
      <c r="R172" s="183">
        <v>1</v>
      </c>
      <c r="S172" s="183">
        <v>2</v>
      </c>
      <c r="T172" s="188">
        <v>0</v>
      </c>
      <c r="U172" s="183">
        <v>0</v>
      </c>
      <c r="V172" s="183">
        <v>0</v>
      </c>
    </row>
    <row r="173" spans="2:25" x14ac:dyDescent="0.25">
      <c r="B173" s="810"/>
      <c r="C173" s="810"/>
      <c r="D173" s="183">
        <v>25</v>
      </c>
      <c r="E173" s="185">
        <v>0</v>
      </c>
      <c r="F173" s="183">
        <v>0</v>
      </c>
      <c r="G173" s="404">
        <v>0</v>
      </c>
      <c r="H173" s="185">
        <v>1</v>
      </c>
      <c r="I173" s="183">
        <v>0</v>
      </c>
      <c r="J173" s="183">
        <v>1</v>
      </c>
      <c r="K173" s="188">
        <v>0</v>
      </c>
      <c r="L173" s="183">
        <v>0</v>
      </c>
      <c r="M173" s="183">
        <v>0</v>
      </c>
      <c r="N173" s="188">
        <v>0</v>
      </c>
      <c r="O173" s="183">
        <v>0</v>
      </c>
      <c r="P173" s="183">
        <v>0</v>
      </c>
      <c r="Q173" s="188">
        <v>0</v>
      </c>
      <c r="R173" s="183">
        <v>0</v>
      </c>
      <c r="S173" s="183">
        <v>0</v>
      </c>
      <c r="T173" s="188">
        <v>1</v>
      </c>
      <c r="U173" s="183">
        <v>0</v>
      </c>
      <c r="V173" s="183">
        <v>1</v>
      </c>
    </row>
    <row r="174" spans="2:25" x14ac:dyDescent="0.25">
      <c r="B174" s="810"/>
      <c r="C174" s="810"/>
      <c r="D174" s="183">
        <v>26</v>
      </c>
      <c r="E174" s="185">
        <v>1</v>
      </c>
      <c r="F174" s="183">
        <v>0</v>
      </c>
      <c r="G174" s="404">
        <v>1</v>
      </c>
      <c r="H174" s="185">
        <v>0</v>
      </c>
      <c r="I174" s="183">
        <v>0</v>
      </c>
      <c r="J174" s="183">
        <v>0</v>
      </c>
      <c r="K174" s="188">
        <v>0</v>
      </c>
      <c r="L174" s="183">
        <v>0</v>
      </c>
      <c r="M174" s="183">
        <v>0</v>
      </c>
      <c r="N174" s="188">
        <v>0</v>
      </c>
      <c r="O174" s="183">
        <v>0</v>
      </c>
      <c r="P174" s="183">
        <v>0</v>
      </c>
      <c r="Q174" s="188">
        <v>1</v>
      </c>
      <c r="R174" s="183">
        <v>0</v>
      </c>
      <c r="S174" s="183">
        <v>1</v>
      </c>
      <c r="T174" s="188">
        <v>1</v>
      </c>
      <c r="U174" s="183">
        <v>0</v>
      </c>
      <c r="V174" s="183">
        <v>1</v>
      </c>
    </row>
    <row r="175" spans="2:25" x14ac:dyDescent="0.25">
      <c r="B175" s="810"/>
      <c r="C175" s="810"/>
      <c r="D175" s="183">
        <v>27</v>
      </c>
      <c r="E175" s="185">
        <v>0</v>
      </c>
      <c r="F175" s="183">
        <v>0</v>
      </c>
      <c r="G175" s="404">
        <v>0</v>
      </c>
      <c r="H175" s="185">
        <v>1</v>
      </c>
      <c r="I175" s="183">
        <v>1</v>
      </c>
      <c r="J175" s="183">
        <v>0</v>
      </c>
      <c r="K175" s="188">
        <v>0</v>
      </c>
      <c r="L175" s="183">
        <v>0</v>
      </c>
      <c r="M175" s="183">
        <v>0</v>
      </c>
      <c r="N175" s="188">
        <v>0</v>
      </c>
      <c r="O175" s="183">
        <v>0</v>
      </c>
      <c r="P175" s="183">
        <v>0</v>
      </c>
      <c r="Q175" s="188">
        <v>1</v>
      </c>
      <c r="R175" s="183">
        <v>0</v>
      </c>
      <c r="S175" s="183">
        <v>1</v>
      </c>
      <c r="T175" s="188">
        <v>0</v>
      </c>
      <c r="U175" s="183">
        <v>0</v>
      </c>
      <c r="V175" s="183">
        <v>0</v>
      </c>
    </row>
    <row r="176" spans="2:25" x14ac:dyDescent="0.25">
      <c r="B176" s="810"/>
      <c r="C176" s="810"/>
      <c r="D176" s="183">
        <v>28</v>
      </c>
      <c r="E176" s="185">
        <v>1</v>
      </c>
      <c r="F176" s="183">
        <v>0</v>
      </c>
      <c r="G176" s="404">
        <v>1</v>
      </c>
      <c r="H176" s="185">
        <v>0</v>
      </c>
      <c r="I176" s="183">
        <v>0</v>
      </c>
      <c r="J176" s="183">
        <v>0</v>
      </c>
      <c r="K176" s="188">
        <v>0</v>
      </c>
      <c r="L176" s="183">
        <v>0</v>
      </c>
      <c r="M176" s="183">
        <v>0</v>
      </c>
      <c r="N176" s="188">
        <v>0</v>
      </c>
      <c r="O176" s="183">
        <v>0</v>
      </c>
      <c r="P176" s="183">
        <v>0</v>
      </c>
      <c r="Q176" s="188">
        <v>0</v>
      </c>
      <c r="R176" s="183">
        <v>0</v>
      </c>
      <c r="S176" s="183">
        <v>0</v>
      </c>
      <c r="T176" s="188">
        <v>0</v>
      </c>
      <c r="U176" s="183">
        <v>0</v>
      </c>
      <c r="V176" s="183">
        <v>0</v>
      </c>
    </row>
    <row r="177" spans="2:31" x14ac:dyDescent="0.25">
      <c r="B177" s="810"/>
      <c r="C177" s="810"/>
      <c r="D177" s="183">
        <v>29</v>
      </c>
      <c r="E177" s="185">
        <v>1</v>
      </c>
      <c r="F177" s="183">
        <v>0</v>
      </c>
      <c r="G177" s="404">
        <v>1</v>
      </c>
      <c r="H177" s="185">
        <v>0</v>
      </c>
      <c r="I177" s="183">
        <v>0</v>
      </c>
      <c r="J177" s="183">
        <v>0</v>
      </c>
      <c r="K177" s="188">
        <v>0</v>
      </c>
      <c r="L177" s="183">
        <v>0</v>
      </c>
      <c r="M177" s="183">
        <v>0</v>
      </c>
      <c r="N177" s="188">
        <v>0</v>
      </c>
      <c r="O177" s="183">
        <v>0</v>
      </c>
      <c r="P177" s="183">
        <v>0</v>
      </c>
      <c r="Q177" s="188">
        <v>0</v>
      </c>
      <c r="R177" s="183">
        <v>0</v>
      </c>
      <c r="S177" s="183">
        <v>0</v>
      </c>
      <c r="T177" s="188">
        <v>1</v>
      </c>
      <c r="U177" s="183">
        <v>0</v>
      </c>
      <c r="V177" s="183">
        <v>1</v>
      </c>
    </row>
    <row r="178" spans="2:31" x14ac:dyDescent="0.25">
      <c r="B178" s="810"/>
      <c r="C178" s="810"/>
      <c r="D178" s="183" t="s">
        <v>71</v>
      </c>
      <c r="E178" s="185">
        <v>1</v>
      </c>
      <c r="F178" s="183">
        <v>1</v>
      </c>
      <c r="G178" s="404">
        <v>0</v>
      </c>
      <c r="H178" s="185">
        <v>1</v>
      </c>
      <c r="I178" s="183">
        <v>0</v>
      </c>
      <c r="J178" s="183">
        <v>1</v>
      </c>
      <c r="K178" s="188">
        <v>0</v>
      </c>
      <c r="L178" s="183">
        <v>0</v>
      </c>
      <c r="M178" s="183">
        <v>0</v>
      </c>
      <c r="N178" s="188">
        <v>0</v>
      </c>
      <c r="O178" s="183">
        <v>0</v>
      </c>
      <c r="P178" s="183">
        <v>0</v>
      </c>
      <c r="Q178" s="188">
        <v>1</v>
      </c>
      <c r="R178" s="183">
        <v>0</v>
      </c>
      <c r="S178" s="183">
        <v>1</v>
      </c>
      <c r="T178" s="188">
        <v>1</v>
      </c>
      <c r="U178" s="183">
        <v>0</v>
      </c>
      <c r="V178" s="183">
        <v>1</v>
      </c>
    </row>
    <row r="179" spans="2:31" x14ac:dyDescent="0.25">
      <c r="B179" s="812"/>
      <c r="C179" s="812"/>
      <c r="D179" s="183" t="s">
        <v>72</v>
      </c>
      <c r="E179" s="185">
        <v>0</v>
      </c>
      <c r="F179" s="183">
        <v>0</v>
      </c>
      <c r="G179" s="404">
        <v>0</v>
      </c>
      <c r="H179" s="185">
        <v>0</v>
      </c>
      <c r="I179" s="183">
        <v>0</v>
      </c>
      <c r="J179" s="183">
        <v>0</v>
      </c>
      <c r="K179" s="188">
        <v>0</v>
      </c>
      <c r="L179" s="183">
        <v>0</v>
      </c>
      <c r="M179" s="183">
        <v>0</v>
      </c>
      <c r="N179" s="188">
        <v>0</v>
      </c>
      <c r="O179" s="183">
        <v>0</v>
      </c>
      <c r="P179" s="183">
        <v>0</v>
      </c>
      <c r="Q179" s="188">
        <v>0</v>
      </c>
      <c r="R179" s="183">
        <v>0</v>
      </c>
      <c r="S179" s="183">
        <v>0</v>
      </c>
      <c r="T179" s="188">
        <v>0</v>
      </c>
      <c r="U179" s="183">
        <v>0</v>
      </c>
      <c r="V179" s="183">
        <v>0</v>
      </c>
    </row>
    <row r="180" spans="2:31" x14ac:dyDescent="0.25">
      <c r="B180" s="812"/>
      <c r="C180" s="812"/>
      <c r="D180" s="193" t="s">
        <v>73</v>
      </c>
      <c r="E180" s="197">
        <v>0</v>
      </c>
      <c r="F180" s="193">
        <v>0</v>
      </c>
      <c r="G180" s="405">
        <v>0</v>
      </c>
      <c r="H180" s="197">
        <v>0</v>
      </c>
      <c r="I180" s="193">
        <v>0</v>
      </c>
      <c r="J180" s="196">
        <v>0</v>
      </c>
      <c r="K180" s="188">
        <v>2</v>
      </c>
      <c r="L180" s="193">
        <v>0</v>
      </c>
      <c r="M180" s="193">
        <v>2</v>
      </c>
      <c r="N180" s="188">
        <v>1</v>
      </c>
      <c r="O180" s="193">
        <v>0</v>
      </c>
      <c r="P180" s="193">
        <v>1</v>
      </c>
      <c r="Q180" s="188">
        <v>0</v>
      </c>
      <c r="R180" s="193">
        <v>0</v>
      </c>
      <c r="S180" s="193">
        <v>0</v>
      </c>
      <c r="T180" s="188">
        <v>0</v>
      </c>
      <c r="U180" s="183">
        <v>0</v>
      </c>
      <c r="V180" s="193">
        <v>0</v>
      </c>
    </row>
    <row r="181" spans="2:31" ht="15.75" thickBot="1" x14ac:dyDescent="0.3">
      <c r="B181" s="813"/>
      <c r="C181" s="813"/>
      <c r="D181" s="189" t="s">
        <v>69</v>
      </c>
      <c r="E181" s="190">
        <v>35</v>
      </c>
      <c r="F181" s="191">
        <v>8</v>
      </c>
      <c r="G181" s="406">
        <v>27</v>
      </c>
      <c r="H181" s="190">
        <v>40</v>
      </c>
      <c r="I181" s="191">
        <v>8</v>
      </c>
      <c r="J181" s="192">
        <v>32</v>
      </c>
      <c r="K181" s="190">
        <v>55</v>
      </c>
      <c r="L181" s="191">
        <v>7</v>
      </c>
      <c r="M181" s="192">
        <v>48</v>
      </c>
      <c r="N181" s="190">
        <v>52</v>
      </c>
      <c r="O181" s="191">
        <v>6</v>
      </c>
      <c r="P181" s="192">
        <v>46</v>
      </c>
      <c r="Q181" s="190">
        <v>51</v>
      </c>
      <c r="R181" s="191">
        <v>6</v>
      </c>
      <c r="S181" s="192">
        <v>45</v>
      </c>
      <c r="T181" s="190">
        <v>41</v>
      </c>
      <c r="U181" s="191">
        <v>9</v>
      </c>
      <c r="V181" s="192">
        <v>32</v>
      </c>
    </row>
    <row r="182" spans="2:31" x14ac:dyDescent="0.25">
      <c r="E182" s="14"/>
      <c r="F182" s="14"/>
      <c r="G182" s="14"/>
      <c r="H182" s="14"/>
      <c r="I182" s="14"/>
      <c r="J182" s="14"/>
      <c r="K182" s="14"/>
      <c r="L182" s="14"/>
      <c r="M182" s="14"/>
      <c r="O182" s="14"/>
      <c r="P182" s="14"/>
      <c r="Q182" s="14"/>
      <c r="R182" s="14"/>
      <c r="S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</row>
    <row r="183" spans="2:31" x14ac:dyDescent="0.25">
      <c r="B183" s="777" t="s">
        <v>2</v>
      </c>
      <c r="C183" s="777"/>
      <c r="D183" s="777" t="s">
        <v>68</v>
      </c>
      <c r="E183" s="828" t="s">
        <v>39</v>
      </c>
      <c r="F183" s="828"/>
      <c r="G183" s="828"/>
      <c r="H183" s="828"/>
      <c r="I183" s="828"/>
      <c r="J183" s="828"/>
      <c r="K183" s="828"/>
      <c r="L183" s="828"/>
      <c r="M183" s="828"/>
      <c r="N183" s="828"/>
      <c r="O183" s="828"/>
      <c r="P183" s="828"/>
      <c r="Q183" s="828"/>
      <c r="R183" s="828"/>
      <c r="S183" s="828"/>
      <c r="T183" s="828"/>
      <c r="U183" s="828"/>
      <c r="V183" s="828"/>
      <c r="W183" s="14"/>
      <c r="X183" s="14"/>
      <c r="Y183" s="14"/>
      <c r="Z183" s="14"/>
      <c r="AA183" s="14"/>
      <c r="AB183" s="14"/>
      <c r="AC183" s="14"/>
      <c r="AD183" s="14"/>
      <c r="AE183" s="14"/>
    </row>
    <row r="184" spans="2:31" x14ac:dyDescent="0.25">
      <c r="B184" s="778"/>
      <c r="C184" s="778"/>
      <c r="D184" s="778"/>
      <c r="E184" s="803" t="s">
        <v>5</v>
      </c>
      <c r="F184" s="803"/>
      <c r="G184" s="803"/>
      <c r="H184" s="781" t="s">
        <v>6</v>
      </c>
      <c r="I184" s="781"/>
      <c r="J184" s="781"/>
      <c r="K184" s="781" t="s">
        <v>888</v>
      </c>
      <c r="L184" s="781"/>
      <c r="M184" s="781"/>
      <c r="N184" s="781" t="s">
        <v>953</v>
      </c>
      <c r="O184" s="781"/>
      <c r="P184" s="781"/>
      <c r="Q184" s="781" t="s">
        <v>1125</v>
      </c>
      <c r="R184" s="781"/>
      <c r="S184" s="781"/>
      <c r="T184" s="781" t="s">
        <v>1229</v>
      </c>
      <c r="U184" s="781"/>
      <c r="V184" s="781"/>
      <c r="W184" s="14"/>
      <c r="X184" s="14"/>
      <c r="Y184" s="14"/>
      <c r="Z184" s="14"/>
      <c r="AA184" s="14"/>
      <c r="AB184" s="14"/>
      <c r="AC184" s="14"/>
      <c r="AD184" s="14"/>
      <c r="AE184" s="14"/>
    </row>
    <row r="185" spans="2:31" ht="15.75" customHeight="1" x14ac:dyDescent="0.25">
      <c r="B185" s="809" t="s">
        <v>8</v>
      </c>
      <c r="C185" s="809"/>
      <c r="D185" s="183"/>
      <c r="E185" s="198" t="s">
        <v>77</v>
      </c>
      <c r="F185" s="198" t="s">
        <v>826</v>
      </c>
      <c r="G185" s="403" t="s">
        <v>827</v>
      </c>
      <c r="H185" s="198" t="s">
        <v>77</v>
      </c>
      <c r="I185" s="198" t="s">
        <v>826</v>
      </c>
      <c r="J185" s="198" t="s">
        <v>827</v>
      </c>
      <c r="K185" s="198" t="s">
        <v>77</v>
      </c>
      <c r="L185" s="198" t="s">
        <v>826</v>
      </c>
      <c r="M185" s="198" t="s">
        <v>827</v>
      </c>
      <c r="N185" s="198" t="s">
        <v>77</v>
      </c>
      <c r="O185" s="198" t="s">
        <v>826</v>
      </c>
      <c r="P185" s="198" t="s">
        <v>827</v>
      </c>
      <c r="Q185" s="198" t="s">
        <v>77</v>
      </c>
      <c r="R185" s="198" t="s">
        <v>826</v>
      </c>
      <c r="S185" s="198" t="s">
        <v>827</v>
      </c>
      <c r="T185" s="198" t="s">
        <v>77</v>
      </c>
      <c r="U185" s="198" t="s">
        <v>826</v>
      </c>
      <c r="V185" s="198" t="s">
        <v>827</v>
      </c>
      <c r="W185" s="14"/>
      <c r="X185" s="14"/>
      <c r="Y185" s="14"/>
      <c r="Z185" s="14"/>
      <c r="AA185" s="14"/>
      <c r="AB185" s="14"/>
      <c r="AC185" s="14"/>
      <c r="AD185" s="14"/>
      <c r="AE185" s="14"/>
    </row>
    <row r="186" spans="2:31" ht="13.5" customHeight="1" x14ac:dyDescent="0.25">
      <c r="B186" s="810"/>
      <c r="C186" s="810"/>
      <c r="D186" s="183" t="s">
        <v>70</v>
      </c>
      <c r="E186" s="188">
        <v>24</v>
      </c>
      <c r="F186" s="183">
        <v>14</v>
      </c>
      <c r="G186" s="404">
        <v>10</v>
      </c>
      <c r="H186" s="185">
        <v>18</v>
      </c>
      <c r="I186" s="183">
        <v>11</v>
      </c>
      <c r="J186" s="183">
        <v>7</v>
      </c>
      <c r="K186" s="188">
        <v>18</v>
      </c>
      <c r="L186" s="183">
        <v>10</v>
      </c>
      <c r="M186" s="183">
        <v>8</v>
      </c>
      <c r="N186" s="188">
        <v>25</v>
      </c>
      <c r="O186" s="183">
        <v>13</v>
      </c>
      <c r="P186" s="183">
        <v>12</v>
      </c>
      <c r="Q186" s="185">
        <v>26</v>
      </c>
      <c r="R186" s="183">
        <v>13</v>
      </c>
      <c r="S186" s="183">
        <v>13</v>
      </c>
      <c r="T186" s="188">
        <v>29</v>
      </c>
      <c r="U186" s="183">
        <v>15</v>
      </c>
      <c r="V186" s="183">
        <v>14</v>
      </c>
      <c r="W186" s="14"/>
      <c r="X186" s="14"/>
      <c r="Y186" s="14"/>
      <c r="Z186" s="14"/>
      <c r="AA186" s="14"/>
      <c r="AB186" s="14"/>
      <c r="AC186" s="14"/>
      <c r="AD186" s="14"/>
      <c r="AE186" s="14"/>
    </row>
    <row r="187" spans="2:31" x14ac:dyDescent="0.25">
      <c r="B187" s="810"/>
      <c r="C187" s="810"/>
      <c r="D187" s="183">
        <v>19</v>
      </c>
      <c r="E187" s="188">
        <v>9</v>
      </c>
      <c r="F187" s="183">
        <v>4</v>
      </c>
      <c r="G187" s="404">
        <v>5</v>
      </c>
      <c r="H187" s="185">
        <v>11</v>
      </c>
      <c r="I187" s="183">
        <v>4</v>
      </c>
      <c r="J187" s="183">
        <v>7</v>
      </c>
      <c r="K187" s="188">
        <v>11</v>
      </c>
      <c r="L187" s="183">
        <v>5</v>
      </c>
      <c r="M187" s="183">
        <v>6</v>
      </c>
      <c r="N187" s="188">
        <v>15</v>
      </c>
      <c r="O187" s="183">
        <v>12</v>
      </c>
      <c r="P187" s="183">
        <v>3</v>
      </c>
      <c r="Q187" s="185">
        <v>17</v>
      </c>
      <c r="R187" s="183">
        <v>7</v>
      </c>
      <c r="S187" s="183">
        <v>10</v>
      </c>
      <c r="T187" s="188">
        <v>11</v>
      </c>
      <c r="U187" s="183">
        <v>6</v>
      </c>
      <c r="V187" s="183">
        <v>5</v>
      </c>
      <c r="W187" s="14"/>
      <c r="X187" s="14"/>
      <c r="Y187" s="14"/>
      <c r="Z187" s="14"/>
      <c r="AA187" s="14"/>
      <c r="AB187" s="14"/>
      <c r="AC187" s="14"/>
      <c r="AD187" s="14"/>
      <c r="AE187" s="14"/>
    </row>
    <row r="188" spans="2:31" x14ac:dyDescent="0.25">
      <c r="B188" s="810"/>
      <c r="C188" s="810"/>
      <c r="D188" s="183">
        <v>20</v>
      </c>
      <c r="E188" s="188">
        <v>10</v>
      </c>
      <c r="F188" s="183">
        <v>4</v>
      </c>
      <c r="G188" s="404">
        <v>6</v>
      </c>
      <c r="H188" s="185">
        <v>9</v>
      </c>
      <c r="I188" s="183">
        <v>4</v>
      </c>
      <c r="J188" s="183">
        <v>5</v>
      </c>
      <c r="K188" s="188">
        <v>10</v>
      </c>
      <c r="L188" s="183">
        <v>4</v>
      </c>
      <c r="M188" s="183">
        <v>6</v>
      </c>
      <c r="N188" s="188">
        <v>9</v>
      </c>
      <c r="O188" s="183">
        <v>5</v>
      </c>
      <c r="P188" s="183">
        <v>4</v>
      </c>
      <c r="Q188" s="185">
        <v>6</v>
      </c>
      <c r="R188" s="183">
        <v>0</v>
      </c>
      <c r="S188" s="183">
        <v>6</v>
      </c>
      <c r="T188" s="188">
        <v>8</v>
      </c>
      <c r="U188" s="183">
        <v>5</v>
      </c>
      <c r="V188" s="183">
        <v>3</v>
      </c>
      <c r="W188" s="14"/>
      <c r="X188" s="14"/>
      <c r="Y188" s="14"/>
      <c r="Z188" s="14"/>
      <c r="AA188" s="14"/>
      <c r="AB188" s="14"/>
      <c r="AC188" s="14"/>
      <c r="AD188" s="14"/>
      <c r="AE188" s="14"/>
    </row>
    <row r="189" spans="2:31" x14ac:dyDescent="0.25">
      <c r="B189" s="810"/>
      <c r="C189" s="810"/>
      <c r="D189" s="183">
        <v>21</v>
      </c>
      <c r="E189" s="188">
        <v>3</v>
      </c>
      <c r="F189" s="183">
        <v>1</v>
      </c>
      <c r="G189" s="404">
        <v>2</v>
      </c>
      <c r="H189" s="185">
        <v>9</v>
      </c>
      <c r="I189" s="183">
        <v>4</v>
      </c>
      <c r="J189" s="183">
        <v>5</v>
      </c>
      <c r="K189" s="188">
        <v>4</v>
      </c>
      <c r="L189" s="183">
        <v>2</v>
      </c>
      <c r="M189" s="183">
        <v>2</v>
      </c>
      <c r="N189" s="188">
        <v>8</v>
      </c>
      <c r="O189" s="183">
        <v>4</v>
      </c>
      <c r="P189" s="183">
        <v>4</v>
      </c>
      <c r="Q189" s="185">
        <v>5</v>
      </c>
      <c r="R189" s="183">
        <v>1</v>
      </c>
      <c r="S189" s="183">
        <v>4</v>
      </c>
      <c r="T189" s="188">
        <v>8</v>
      </c>
      <c r="U189" s="183">
        <v>2</v>
      </c>
      <c r="V189" s="183">
        <v>6</v>
      </c>
      <c r="W189" s="14"/>
      <c r="X189" s="14"/>
      <c r="Y189" s="14"/>
      <c r="Z189" s="14"/>
      <c r="AA189" s="14"/>
      <c r="AB189" s="14"/>
      <c r="AC189" s="14"/>
      <c r="AD189" s="14"/>
      <c r="AE189" s="14"/>
    </row>
    <row r="190" spans="2:31" x14ac:dyDescent="0.25">
      <c r="B190" s="810"/>
      <c r="C190" s="810"/>
      <c r="D190" s="183">
        <v>22</v>
      </c>
      <c r="E190" s="188">
        <v>7</v>
      </c>
      <c r="F190" s="183">
        <v>2</v>
      </c>
      <c r="G190" s="404">
        <v>5</v>
      </c>
      <c r="H190" s="185">
        <v>2</v>
      </c>
      <c r="I190" s="183">
        <v>0</v>
      </c>
      <c r="J190" s="183">
        <v>2</v>
      </c>
      <c r="K190" s="188">
        <v>4</v>
      </c>
      <c r="L190" s="183">
        <v>1</v>
      </c>
      <c r="M190" s="183">
        <v>3</v>
      </c>
      <c r="N190" s="188">
        <v>2</v>
      </c>
      <c r="O190" s="183">
        <v>0</v>
      </c>
      <c r="P190" s="183">
        <v>2</v>
      </c>
      <c r="Q190" s="185">
        <v>0</v>
      </c>
      <c r="R190" s="183">
        <v>0</v>
      </c>
      <c r="S190" s="183">
        <v>0</v>
      </c>
      <c r="T190" s="188">
        <v>4</v>
      </c>
      <c r="U190" s="183">
        <v>3</v>
      </c>
      <c r="V190" s="183">
        <v>1</v>
      </c>
      <c r="W190" s="14"/>
      <c r="X190" s="14"/>
      <c r="Y190" s="14"/>
      <c r="Z190" s="14"/>
      <c r="AA190" s="14"/>
      <c r="AB190" s="14"/>
      <c r="AC190" s="14"/>
      <c r="AD190" s="14"/>
      <c r="AE190" s="14"/>
    </row>
    <row r="191" spans="2:31" x14ac:dyDescent="0.25">
      <c r="B191" s="810"/>
      <c r="C191" s="810"/>
      <c r="D191" s="183">
        <v>23</v>
      </c>
      <c r="E191" s="188">
        <v>4</v>
      </c>
      <c r="F191" s="183">
        <v>1</v>
      </c>
      <c r="G191" s="404">
        <v>3</v>
      </c>
      <c r="H191" s="185">
        <v>2</v>
      </c>
      <c r="I191" s="183">
        <v>2</v>
      </c>
      <c r="J191" s="183">
        <v>0</v>
      </c>
      <c r="K191" s="188">
        <v>1</v>
      </c>
      <c r="L191" s="183">
        <v>0</v>
      </c>
      <c r="M191" s="183">
        <v>1</v>
      </c>
      <c r="N191" s="188">
        <v>0</v>
      </c>
      <c r="O191" s="183">
        <v>0</v>
      </c>
      <c r="P191" s="183">
        <v>0</v>
      </c>
      <c r="Q191" s="185">
        <v>3</v>
      </c>
      <c r="R191" s="183">
        <v>2</v>
      </c>
      <c r="S191" s="183">
        <v>1</v>
      </c>
      <c r="T191" s="188">
        <v>1</v>
      </c>
      <c r="U191" s="183">
        <v>0</v>
      </c>
      <c r="V191" s="183">
        <v>1</v>
      </c>
      <c r="W191" s="14"/>
      <c r="X191" s="14"/>
      <c r="Y191" s="14"/>
      <c r="Z191" s="14"/>
      <c r="AA191" s="14"/>
      <c r="AB191" s="14"/>
      <c r="AC191" s="14"/>
      <c r="AD191" s="14"/>
      <c r="AE191" s="14"/>
    </row>
    <row r="192" spans="2:31" x14ac:dyDescent="0.25">
      <c r="B192" s="810"/>
      <c r="C192" s="810"/>
      <c r="D192" s="183">
        <v>24</v>
      </c>
      <c r="E192" s="188">
        <v>0</v>
      </c>
      <c r="F192" s="183">
        <v>0</v>
      </c>
      <c r="G192" s="404">
        <v>0</v>
      </c>
      <c r="H192" s="185">
        <v>0</v>
      </c>
      <c r="I192" s="183">
        <v>0</v>
      </c>
      <c r="J192" s="183">
        <v>0</v>
      </c>
      <c r="K192" s="188">
        <v>0</v>
      </c>
      <c r="L192" s="183">
        <v>0</v>
      </c>
      <c r="M192" s="183">
        <v>0</v>
      </c>
      <c r="N192" s="188">
        <v>0</v>
      </c>
      <c r="O192" s="183">
        <v>0</v>
      </c>
      <c r="P192" s="183">
        <v>0</v>
      </c>
      <c r="Q192" s="185">
        <v>0</v>
      </c>
      <c r="R192" s="183">
        <v>0</v>
      </c>
      <c r="S192" s="183">
        <v>0</v>
      </c>
      <c r="T192" s="188">
        <v>4</v>
      </c>
      <c r="U192" s="183">
        <v>1</v>
      </c>
      <c r="V192" s="183">
        <v>3</v>
      </c>
      <c r="W192" s="14"/>
      <c r="X192" s="14"/>
      <c r="Y192" s="14"/>
      <c r="Z192" s="14"/>
      <c r="AA192" s="14"/>
      <c r="AB192" s="14"/>
      <c r="AC192" s="14"/>
      <c r="AD192" s="14"/>
      <c r="AE192" s="14"/>
    </row>
    <row r="193" spans="2:31" x14ac:dyDescent="0.25">
      <c r="B193" s="810"/>
      <c r="C193" s="810"/>
      <c r="D193" s="183">
        <v>25</v>
      </c>
      <c r="E193" s="188">
        <v>2</v>
      </c>
      <c r="F193" s="183">
        <v>1</v>
      </c>
      <c r="G193" s="404">
        <v>1</v>
      </c>
      <c r="H193" s="185">
        <v>0</v>
      </c>
      <c r="I193" s="183">
        <v>0</v>
      </c>
      <c r="J193" s="183">
        <v>0</v>
      </c>
      <c r="K193" s="188">
        <v>0</v>
      </c>
      <c r="L193" s="183">
        <v>0</v>
      </c>
      <c r="M193" s="183">
        <v>0</v>
      </c>
      <c r="N193" s="188">
        <v>0</v>
      </c>
      <c r="O193" s="183">
        <v>0</v>
      </c>
      <c r="P193" s="183">
        <v>0</v>
      </c>
      <c r="Q193" s="185">
        <v>0</v>
      </c>
      <c r="R193" s="183">
        <v>0</v>
      </c>
      <c r="S193" s="183">
        <v>0</v>
      </c>
      <c r="T193" s="188">
        <v>0</v>
      </c>
      <c r="U193" s="183">
        <v>0</v>
      </c>
      <c r="V193" s="183">
        <v>0</v>
      </c>
      <c r="W193" s="14"/>
      <c r="X193" s="14"/>
      <c r="Y193" s="14"/>
      <c r="Z193" s="14"/>
      <c r="AA193" s="14"/>
      <c r="AB193" s="14"/>
      <c r="AC193" s="14"/>
      <c r="AD193" s="14"/>
      <c r="AE193" s="14"/>
    </row>
    <row r="194" spans="2:31" x14ac:dyDescent="0.25">
      <c r="B194" s="810"/>
      <c r="C194" s="810"/>
      <c r="D194" s="183">
        <v>26</v>
      </c>
      <c r="E194" s="188">
        <v>0</v>
      </c>
      <c r="F194" s="183">
        <v>0</v>
      </c>
      <c r="G194" s="404">
        <v>0</v>
      </c>
      <c r="H194" s="185">
        <v>1</v>
      </c>
      <c r="I194" s="183">
        <v>1</v>
      </c>
      <c r="J194" s="183">
        <v>0</v>
      </c>
      <c r="K194" s="188">
        <v>0</v>
      </c>
      <c r="L194" s="183">
        <v>0</v>
      </c>
      <c r="M194" s="183">
        <v>0</v>
      </c>
      <c r="N194" s="188">
        <v>1</v>
      </c>
      <c r="O194" s="183">
        <v>0</v>
      </c>
      <c r="P194" s="183">
        <v>1</v>
      </c>
      <c r="Q194" s="185">
        <v>0</v>
      </c>
      <c r="R194" s="183">
        <v>0</v>
      </c>
      <c r="S194" s="183">
        <v>0</v>
      </c>
      <c r="T194" s="188">
        <v>0</v>
      </c>
      <c r="U194" s="183">
        <v>0</v>
      </c>
      <c r="V194" s="183">
        <v>0</v>
      </c>
      <c r="W194" s="14"/>
      <c r="X194" s="14"/>
      <c r="Y194" s="14"/>
      <c r="Z194" s="14"/>
      <c r="AA194" s="14"/>
      <c r="AB194" s="14"/>
      <c r="AC194" s="14"/>
      <c r="AD194" s="14"/>
      <c r="AE194" s="14"/>
    </row>
    <row r="195" spans="2:31" x14ac:dyDescent="0.25">
      <c r="B195" s="810"/>
      <c r="C195" s="810"/>
      <c r="D195" s="183">
        <v>27</v>
      </c>
      <c r="E195" s="188">
        <v>0</v>
      </c>
      <c r="F195" s="183">
        <v>0</v>
      </c>
      <c r="G195" s="404">
        <v>0</v>
      </c>
      <c r="H195" s="185">
        <v>1</v>
      </c>
      <c r="I195" s="183">
        <v>0</v>
      </c>
      <c r="J195" s="183">
        <v>1</v>
      </c>
      <c r="K195" s="188">
        <v>0</v>
      </c>
      <c r="L195" s="183">
        <v>0</v>
      </c>
      <c r="M195" s="183">
        <v>0</v>
      </c>
      <c r="N195" s="188">
        <v>0</v>
      </c>
      <c r="O195" s="183">
        <v>0</v>
      </c>
      <c r="P195" s="183">
        <v>0</v>
      </c>
      <c r="Q195" s="185">
        <v>2</v>
      </c>
      <c r="R195" s="183">
        <v>0</v>
      </c>
      <c r="S195" s="183">
        <v>2</v>
      </c>
      <c r="T195" s="188">
        <v>0</v>
      </c>
      <c r="U195" s="183">
        <v>0</v>
      </c>
      <c r="V195" s="183">
        <v>0</v>
      </c>
      <c r="W195" s="14"/>
      <c r="X195" s="14"/>
      <c r="Y195" s="14"/>
      <c r="Z195" s="14"/>
      <c r="AA195" s="14"/>
      <c r="AB195" s="14"/>
      <c r="AC195" s="14"/>
      <c r="AD195" s="14"/>
      <c r="AE195" s="14"/>
    </row>
    <row r="196" spans="2:31" x14ac:dyDescent="0.25">
      <c r="B196" s="810"/>
      <c r="C196" s="810"/>
      <c r="D196" s="183">
        <v>28</v>
      </c>
      <c r="E196" s="188">
        <v>0</v>
      </c>
      <c r="F196" s="183">
        <v>0</v>
      </c>
      <c r="G196" s="404">
        <v>0</v>
      </c>
      <c r="H196" s="185">
        <v>2</v>
      </c>
      <c r="I196" s="183">
        <v>0</v>
      </c>
      <c r="J196" s="183">
        <v>2</v>
      </c>
      <c r="K196" s="188">
        <v>0</v>
      </c>
      <c r="L196" s="183">
        <v>0</v>
      </c>
      <c r="M196" s="183">
        <v>0</v>
      </c>
      <c r="N196" s="188">
        <v>0</v>
      </c>
      <c r="O196" s="183">
        <v>0</v>
      </c>
      <c r="P196" s="183">
        <v>0</v>
      </c>
      <c r="Q196" s="185">
        <v>1</v>
      </c>
      <c r="R196" s="183">
        <v>0</v>
      </c>
      <c r="S196" s="183">
        <v>1</v>
      </c>
      <c r="T196" s="188">
        <v>0</v>
      </c>
      <c r="U196" s="183">
        <v>0</v>
      </c>
      <c r="V196" s="183">
        <v>0</v>
      </c>
      <c r="W196" s="14"/>
      <c r="X196" s="14"/>
      <c r="Y196" s="14"/>
      <c r="Z196" s="14"/>
      <c r="AA196" s="14"/>
      <c r="AB196" s="14"/>
      <c r="AC196" s="14"/>
      <c r="AD196" s="14"/>
      <c r="AE196" s="14"/>
    </row>
    <row r="197" spans="2:31" x14ac:dyDescent="0.25">
      <c r="B197" s="810"/>
      <c r="C197" s="810"/>
      <c r="D197" s="183">
        <v>29</v>
      </c>
      <c r="E197" s="188">
        <v>0</v>
      </c>
      <c r="F197" s="183">
        <v>0</v>
      </c>
      <c r="G197" s="404">
        <v>0</v>
      </c>
      <c r="H197" s="185">
        <v>0</v>
      </c>
      <c r="I197" s="183">
        <v>0</v>
      </c>
      <c r="J197" s="183">
        <v>0</v>
      </c>
      <c r="K197" s="188">
        <v>0</v>
      </c>
      <c r="L197" s="183">
        <v>0</v>
      </c>
      <c r="M197" s="183">
        <v>0</v>
      </c>
      <c r="N197" s="188">
        <v>0</v>
      </c>
      <c r="O197" s="183">
        <v>0</v>
      </c>
      <c r="P197" s="183">
        <v>0</v>
      </c>
      <c r="Q197" s="185">
        <v>1</v>
      </c>
      <c r="R197" s="183">
        <v>1</v>
      </c>
      <c r="S197" s="183">
        <v>0</v>
      </c>
      <c r="T197" s="188">
        <v>0</v>
      </c>
      <c r="U197" s="183">
        <v>0</v>
      </c>
      <c r="V197" s="183">
        <v>0</v>
      </c>
      <c r="W197" s="14"/>
      <c r="X197" s="14"/>
      <c r="Y197" s="14"/>
      <c r="Z197" s="14"/>
      <c r="AA197" s="14"/>
      <c r="AB197" s="14"/>
      <c r="AC197" s="14"/>
      <c r="AD197" s="14"/>
      <c r="AE197" s="14"/>
    </row>
    <row r="198" spans="2:31" x14ac:dyDescent="0.25">
      <c r="B198" s="810"/>
      <c r="C198" s="810"/>
      <c r="D198" s="183" t="s">
        <v>71</v>
      </c>
      <c r="E198" s="188">
        <v>1</v>
      </c>
      <c r="F198" s="183">
        <v>1</v>
      </c>
      <c r="G198" s="404">
        <v>0</v>
      </c>
      <c r="H198" s="185">
        <v>2</v>
      </c>
      <c r="I198" s="183">
        <v>1</v>
      </c>
      <c r="J198" s="183">
        <v>1</v>
      </c>
      <c r="K198" s="188">
        <v>0</v>
      </c>
      <c r="L198" s="183">
        <v>0</v>
      </c>
      <c r="M198" s="183">
        <v>0</v>
      </c>
      <c r="N198" s="188">
        <v>1</v>
      </c>
      <c r="O198" s="183">
        <v>0</v>
      </c>
      <c r="P198" s="183">
        <v>1</v>
      </c>
      <c r="Q198" s="185">
        <v>0</v>
      </c>
      <c r="R198" s="183">
        <v>0</v>
      </c>
      <c r="S198" s="183">
        <v>0</v>
      </c>
      <c r="T198" s="188">
        <v>0</v>
      </c>
      <c r="U198" s="183">
        <v>0</v>
      </c>
      <c r="V198" s="183">
        <v>0</v>
      </c>
      <c r="W198" s="14"/>
      <c r="X198" s="14"/>
      <c r="Y198" s="14"/>
      <c r="Z198" s="14"/>
      <c r="AA198" s="14"/>
      <c r="AB198" s="14"/>
      <c r="AC198" s="14"/>
      <c r="AD198" s="14"/>
      <c r="AE198" s="14"/>
    </row>
    <row r="199" spans="2:31" x14ac:dyDescent="0.25">
      <c r="B199" s="810"/>
      <c r="C199" s="810"/>
      <c r="D199" s="183" t="s">
        <v>72</v>
      </c>
      <c r="E199" s="188">
        <v>2</v>
      </c>
      <c r="F199" s="183">
        <v>1</v>
      </c>
      <c r="G199" s="404">
        <v>1</v>
      </c>
      <c r="H199" s="185">
        <v>1</v>
      </c>
      <c r="I199" s="183">
        <v>1</v>
      </c>
      <c r="J199" s="183">
        <v>0</v>
      </c>
      <c r="K199" s="188">
        <v>0</v>
      </c>
      <c r="L199" s="183">
        <v>0</v>
      </c>
      <c r="M199" s="183">
        <v>0</v>
      </c>
      <c r="N199" s="188">
        <v>1</v>
      </c>
      <c r="O199" s="183">
        <v>0</v>
      </c>
      <c r="P199" s="183">
        <v>1</v>
      </c>
      <c r="Q199" s="185">
        <v>0</v>
      </c>
      <c r="R199" s="183">
        <v>0</v>
      </c>
      <c r="S199" s="183">
        <v>0</v>
      </c>
      <c r="T199" s="188">
        <v>0</v>
      </c>
      <c r="U199" s="183">
        <v>0</v>
      </c>
      <c r="V199" s="183">
        <v>0</v>
      </c>
      <c r="W199" s="14"/>
      <c r="X199" s="14"/>
      <c r="Y199" s="14"/>
      <c r="Z199" s="14"/>
      <c r="AA199" s="14"/>
      <c r="AB199" s="14"/>
      <c r="AC199" s="14"/>
      <c r="AD199" s="14"/>
      <c r="AE199" s="14"/>
    </row>
    <row r="200" spans="2:31" x14ac:dyDescent="0.25">
      <c r="B200" s="810"/>
      <c r="C200" s="810"/>
      <c r="D200" s="193" t="s">
        <v>73</v>
      </c>
      <c r="E200" s="195">
        <v>1</v>
      </c>
      <c r="F200" s="193">
        <v>0</v>
      </c>
      <c r="G200" s="405">
        <v>1</v>
      </c>
      <c r="H200" s="197">
        <v>1</v>
      </c>
      <c r="I200" s="193">
        <v>1</v>
      </c>
      <c r="J200" s="196">
        <v>0</v>
      </c>
      <c r="K200" s="188">
        <v>0</v>
      </c>
      <c r="L200" s="193">
        <v>0</v>
      </c>
      <c r="M200" s="193">
        <v>0</v>
      </c>
      <c r="N200" s="188">
        <v>0</v>
      </c>
      <c r="O200" s="193">
        <v>0</v>
      </c>
      <c r="P200" s="193">
        <v>0</v>
      </c>
      <c r="Q200" s="197">
        <v>0</v>
      </c>
      <c r="R200" s="193">
        <v>0</v>
      </c>
      <c r="S200" s="196">
        <v>0</v>
      </c>
      <c r="T200" s="188">
        <v>0</v>
      </c>
      <c r="U200" s="183">
        <v>0</v>
      </c>
      <c r="V200" s="183">
        <v>0</v>
      </c>
      <c r="W200" s="14"/>
      <c r="X200" s="14"/>
      <c r="Y200" s="14"/>
      <c r="Z200" s="14"/>
      <c r="AA200" s="14"/>
      <c r="AB200" s="14"/>
      <c r="AC200" s="14"/>
      <c r="AD200" s="14"/>
      <c r="AE200" s="14"/>
    </row>
    <row r="201" spans="2:31" ht="15.75" thickBot="1" x14ac:dyDescent="0.3">
      <c r="B201" s="811"/>
      <c r="C201" s="811"/>
      <c r="D201" s="189" t="s">
        <v>69</v>
      </c>
      <c r="E201" s="190">
        <v>63</v>
      </c>
      <c r="F201" s="191">
        <v>29</v>
      </c>
      <c r="G201" s="406">
        <v>34</v>
      </c>
      <c r="H201" s="190">
        <v>59</v>
      </c>
      <c r="I201" s="191">
        <v>29</v>
      </c>
      <c r="J201" s="192">
        <v>30</v>
      </c>
      <c r="K201" s="190">
        <v>48</v>
      </c>
      <c r="L201" s="191">
        <v>22</v>
      </c>
      <c r="M201" s="192">
        <v>26</v>
      </c>
      <c r="N201" s="190">
        <v>62</v>
      </c>
      <c r="O201" s="191">
        <v>34</v>
      </c>
      <c r="P201" s="192">
        <v>28</v>
      </c>
      <c r="Q201" s="190">
        <v>61</v>
      </c>
      <c r="R201" s="191">
        <v>24</v>
      </c>
      <c r="S201" s="192">
        <v>37</v>
      </c>
      <c r="T201" s="190">
        <v>65</v>
      </c>
      <c r="U201" s="191">
        <v>32</v>
      </c>
      <c r="V201" s="192">
        <v>33</v>
      </c>
      <c r="W201" s="14"/>
      <c r="X201" s="14"/>
      <c r="Y201" s="14"/>
      <c r="Z201" s="14"/>
      <c r="AA201" s="14"/>
      <c r="AB201" s="14"/>
      <c r="AC201" s="14"/>
      <c r="AD201" s="14"/>
      <c r="AE201" s="14"/>
    </row>
    <row r="202" spans="2:31" s="14" customFormat="1" ht="12.75" x14ac:dyDescent="0.2"/>
    <row r="203" spans="2:31" x14ac:dyDescent="0.25">
      <c r="B203" s="777" t="s">
        <v>2</v>
      </c>
      <c r="C203" s="777"/>
      <c r="D203" s="777" t="s">
        <v>68</v>
      </c>
      <c r="E203" s="828" t="s">
        <v>39</v>
      </c>
      <c r="F203" s="828"/>
      <c r="G203" s="828"/>
      <c r="H203" s="828"/>
      <c r="I203" s="828"/>
      <c r="J203" s="828"/>
      <c r="K203" s="828"/>
      <c r="L203" s="828"/>
      <c r="M203" s="828"/>
      <c r="N203" s="828"/>
      <c r="O203" s="828"/>
      <c r="P203" s="828"/>
    </row>
    <row r="204" spans="2:31" x14ac:dyDescent="0.25">
      <c r="B204" s="778"/>
      <c r="C204" s="778"/>
      <c r="D204" s="778"/>
      <c r="E204" s="781" t="s">
        <v>892</v>
      </c>
      <c r="F204" s="781"/>
      <c r="G204" s="781"/>
      <c r="H204" s="781" t="s">
        <v>955</v>
      </c>
      <c r="I204" s="781"/>
      <c r="J204" s="781"/>
      <c r="K204" s="781" t="s">
        <v>1127</v>
      </c>
      <c r="L204" s="781"/>
      <c r="M204" s="781"/>
      <c r="N204" s="781" t="s">
        <v>1229</v>
      </c>
      <c r="O204" s="781"/>
      <c r="P204" s="781"/>
    </row>
    <row r="205" spans="2:31" ht="15.75" customHeight="1" x14ac:dyDescent="0.25">
      <c r="B205" s="809" t="s">
        <v>904</v>
      </c>
      <c r="C205" s="809"/>
      <c r="D205" s="183"/>
      <c r="E205" s="198" t="s">
        <v>77</v>
      </c>
      <c r="F205" s="198" t="s">
        <v>826</v>
      </c>
      <c r="G205" s="198" t="s">
        <v>827</v>
      </c>
      <c r="H205" s="198" t="s">
        <v>77</v>
      </c>
      <c r="I205" s="198" t="s">
        <v>826</v>
      </c>
      <c r="J205" s="198" t="s">
        <v>827</v>
      </c>
      <c r="K205" s="198" t="s">
        <v>77</v>
      </c>
      <c r="L205" s="198" t="s">
        <v>826</v>
      </c>
      <c r="M205" s="198" t="s">
        <v>827</v>
      </c>
      <c r="N205" s="198" t="s">
        <v>77</v>
      </c>
      <c r="O205" s="198" t="s">
        <v>826</v>
      </c>
      <c r="P205" s="198" t="s">
        <v>827</v>
      </c>
    </row>
    <row r="206" spans="2:31" ht="13.5" customHeight="1" x14ac:dyDescent="0.25">
      <c r="B206" s="810"/>
      <c r="C206" s="810"/>
      <c r="D206" s="183" t="s">
        <v>70</v>
      </c>
      <c r="E206" s="187">
        <v>1</v>
      </c>
      <c r="F206" s="184">
        <v>0</v>
      </c>
      <c r="G206" s="184">
        <v>1</v>
      </c>
      <c r="H206" s="187">
        <v>6</v>
      </c>
      <c r="I206" s="184">
        <v>1</v>
      </c>
      <c r="J206" s="184">
        <v>5</v>
      </c>
      <c r="K206" s="187">
        <v>5</v>
      </c>
      <c r="L206" s="184">
        <v>0</v>
      </c>
      <c r="M206" s="184">
        <v>5</v>
      </c>
      <c r="N206" s="187">
        <v>2</v>
      </c>
      <c r="O206" s="184">
        <v>2</v>
      </c>
      <c r="P206" s="184">
        <v>0</v>
      </c>
    </row>
    <row r="207" spans="2:31" x14ac:dyDescent="0.25">
      <c r="B207" s="810"/>
      <c r="C207" s="810"/>
      <c r="D207" s="183">
        <v>19</v>
      </c>
      <c r="E207" s="187">
        <v>1</v>
      </c>
      <c r="F207" s="184">
        <v>0</v>
      </c>
      <c r="G207" s="184">
        <v>1</v>
      </c>
      <c r="H207" s="187">
        <v>2</v>
      </c>
      <c r="I207" s="184">
        <v>1</v>
      </c>
      <c r="J207" s="184">
        <v>1</v>
      </c>
      <c r="K207" s="187">
        <v>2</v>
      </c>
      <c r="L207" s="184">
        <v>0</v>
      </c>
      <c r="M207" s="184">
        <v>2</v>
      </c>
      <c r="N207" s="187">
        <v>2</v>
      </c>
      <c r="O207" s="184">
        <v>1</v>
      </c>
      <c r="P207" s="184">
        <v>1</v>
      </c>
    </row>
    <row r="208" spans="2:31" x14ac:dyDescent="0.25">
      <c r="B208" s="810"/>
      <c r="C208" s="810"/>
      <c r="D208" s="183">
        <v>20</v>
      </c>
      <c r="E208" s="187">
        <v>1</v>
      </c>
      <c r="F208" s="184">
        <v>0</v>
      </c>
      <c r="G208" s="184">
        <v>1</v>
      </c>
      <c r="H208" s="187">
        <v>2</v>
      </c>
      <c r="I208" s="184">
        <v>0</v>
      </c>
      <c r="J208" s="184">
        <v>2</v>
      </c>
      <c r="K208" s="187">
        <v>0</v>
      </c>
      <c r="L208" s="184">
        <v>0</v>
      </c>
      <c r="M208" s="184">
        <v>0</v>
      </c>
      <c r="N208" s="187">
        <v>2</v>
      </c>
      <c r="O208" s="184">
        <v>1</v>
      </c>
      <c r="P208" s="184">
        <v>1</v>
      </c>
    </row>
    <row r="209" spans="2:26" x14ac:dyDescent="0.25">
      <c r="B209" s="810"/>
      <c r="C209" s="810"/>
      <c r="D209" s="183">
        <v>21</v>
      </c>
      <c r="E209" s="187">
        <v>0</v>
      </c>
      <c r="F209" s="184">
        <v>0</v>
      </c>
      <c r="G209" s="184">
        <v>0</v>
      </c>
      <c r="H209" s="187">
        <v>1</v>
      </c>
      <c r="I209" s="184">
        <v>0</v>
      </c>
      <c r="J209" s="184">
        <v>1</v>
      </c>
      <c r="K209" s="187">
        <v>0</v>
      </c>
      <c r="L209" s="184">
        <v>0</v>
      </c>
      <c r="M209" s="184">
        <v>0</v>
      </c>
      <c r="N209" s="187">
        <v>0</v>
      </c>
      <c r="O209" s="184">
        <v>0</v>
      </c>
      <c r="P209" s="184">
        <v>0</v>
      </c>
    </row>
    <row r="210" spans="2:26" x14ac:dyDescent="0.25">
      <c r="B210" s="810"/>
      <c r="C210" s="810"/>
      <c r="D210" s="183">
        <v>22</v>
      </c>
      <c r="E210" s="187">
        <v>0</v>
      </c>
      <c r="F210" s="184">
        <v>0</v>
      </c>
      <c r="G210" s="184">
        <v>0</v>
      </c>
      <c r="H210" s="187">
        <v>0</v>
      </c>
      <c r="I210" s="184">
        <v>0</v>
      </c>
      <c r="J210" s="184">
        <v>0</v>
      </c>
      <c r="K210" s="187">
        <v>1</v>
      </c>
      <c r="L210" s="184">
        <v>1</v>
      </c>
      <c r="M210" s="184">
        <v>0</v>
      </c>
      <c r="N210" s="187">
        <v>0</v>
      </c>
      <c r="O210" s="184">
        <v>0</v>
      </c>
      <c r="P210" s="184">
        <v>0</v>
      </c>
    </row>
    <row r="211" spans="2:26" x14ac:dyDescent="0.25">
      <c r="B211" s="810"/>
      <c r="C211" s="810"/>
      <c r="D211" s="183">
        <v>23</v>
      </c>
      <c r="E211" s="187">
        <v>1</v>
      </c>
      <c r="F211" s="184">
        <v>0</v>
      </c>
      <c r="G211" s="184">
        <v>1</v>
      </c>
      <c r="H211" s="187">
        <v>0</v>
      </c>
      <c r="I211" s="184">
        <v>0</v>
      </c>
      <c r="J211" s="184">
        <v>0</v>
      </c>
      <c r="K211" s="187">
        <v>0</v>
      </c>
      <c r="L211" s="184">
        <v>0</v>
      </c>
      <c r="M211" s="184">
        <v>0</v>
      </c>
      <c r="N211" s="187">
        <v>0</v>
      </c>
      <c r="O211" s="184">
        <v>0</v>
      </c>
      <c r="P211" s="184">
        <v>0</v>
      </c>
    </row>
    <row r="212" spans="2:26" x14ac:dyDescent="0.25">
      <c r="B212" s="810"/>
      <c r="C212" s="810"/>
      <c r="D212" s="183">
        <v>24</v>
      </c>
      <c r="E212" s="187">
        <v>0</v>
      </c>
      <c r="F212" s="184">
        <v>0</v>
      </c>
      <c r="G212" s="184">
        <v>0</v>
      </c>
      <c r="H212" s="187">
        <v>0</v>
      </c>
      <c r="I212" s="184">
        <v>0</v>
      </c>
      <c r="J212" s="184">
        <v>0</v>
      </c>
      <c r="K212" s="187">
        <v>1</v>
      </c>
      <c r="L212" s="184">
        <v>1</v>
      </c>
      <c r="M212" s="184">
        <v>0</v>
      </c>
      <c r="N212" s="187">
        <v>0</v>
      </c>
      <c r="O212" s="184">
        <v>0</v>
      </c>
      <c r="P212" s="184">
        <v>0</v>
      </c>
    </row>
    <row r="213" spans="2:26" x14ac:dyDescent="0.25">
      <c r="B213" s="810"/>
      <c r="C213" s="810"/>
      <c r="D213" s="183">
        <v>25</v>
      </c>
      <c r="E213" s="187">
        <v>0</v>
      </c>
      <c r="F213" s="184">
        <v>0</v>
      </c>
      <c r="G213" s="184">
        <v>0</v>
      </c>
      <c r="H213" s="187">
        <v>0</v>
      </c>
      <c r="I213" s="184">
        <v>0</v>
      </c>
      <c r="J213" s="184">
        <v>0</v>
      </c>
      <c r="K213" s="187">
        <v>1</v>
      </c>
      <c r="L213" s="184">
        <v>0</v>
      </c>
      <c r="M213" s="184">
        <v>1</v>
      </c>
      <c r="N213" s="187">
        <v>0</v>
      </c>
      <c r="O213" s="184">
        <v>0</v>
      </c>
      <c r="P213" s="184">
        <v>0</v>
      </c>
    </row>
    <row r="214" spans="2:26" x14ac:dyDescent="0.25">
      <c r="B214" s="810"/>
      <c r="C214" s="810"/>
      <c r="D214" s="183">
        <v>26</v>
      </c>
      <c r="E214" s="187">
        <v>0</v>
      </c>
      <c r="F214" s="184">
        <v>0</v>
      </c>
      <c r="G214" s="184">
        <v>0</v>
      </c>
      <c r="H214" s="187">
        <v>0</v>
      </c>
      <c r="I214" s="184">
        <v>0</v>
      </c>
      <c r="J214" s="184">
        <v>0</v>
      </c>
      <c r="K214" s="187">
        <v>1</v>
      </c>
      <c r="L214" s="184">
        <v>0</v>
      </c>
      <c r="M214" s="184">
        <v>1</v>
      </c>
      <c r="N214" s="187">
        <v>0</v>
      </c>
      <c r="O214" s="184">
        <v>0</v>
      </c>
      <c r="P214" s="184">
        <v>0</v>
      </c>
    </row>
    <row r="215" spans="2:26" x14ac:dyDescent="0.25">
      <c r="B215" s="810"/>
      <c r="C215" s="810"/>
      <c r="D215" s="183">
        <v>27</v>
      </c>
      <c r="E215" s="187">
        <v>0</v>
      </c>
      <c r="F215" s="184">
        <v>0</v>
      </c>
      <c r="G215" s="184">
        <v>0</v>
      </c>
      <c r="H215" s="187">
        <v>0</v>
      </c>
      <c r="I215" s="184">
        <v>0</v>
      </c>
      <c r="J215" s="184">
        <v>0</v>
      </c>
      <c r="K215" s="187">
        <v>0</v>
      </c>
      <c r="L215" s="184">
        <v>0</v>
      </c>
      <c r="M215" s="184">
        <v>0</v>
      </c>
      <c r="N215" s="187">
        <v>0</v>
      </c>
      <c r="O215" s="184">
        <v>0</v>
      </c>
      <c r="P215" s="184">
        <v>0</v>
      </c>
    </row>
    <row r="216" spans="2:26" x14ac:dyDescent="0.25">
      <c r="B216" s="810"/>
      <c r="C216" s="810"/>
      <c r="D216" s="183">
        <v>28</v>
      </c>
      <c r="E216" s="187">
        <v>0</v>
      </c>
      <c r="F216" s="184">
        <v>0</v>
      </c>
      <c r="G216" s="184">
        <v>0</v>
      </c>
      <c r="H216" s="187">
        <v>0</v>
      </c>
      <c r="I216" s="184">
        <v>0</v>
      </c>
      <c r="J216" s="184">
        <v>0</v>
      </c>
      <c r="K216" s="187">
        <v>0</v>
      </c>
      <c r="L216" s="184">
        <v>0</v>
      </c>
      <c r="M216" s="184">
        <v>0</v>
      </c>
      <c r="N216" s="187">
        <v>0</v>
      </c>
      <c r="O216" s="184">
        <v>0</v>
      </c>
      <c r="P216" s="184">
        <v>0</v>
      </c>
    </row>
    <row r="217" spans="2:26" x14ac:dyDescent="0.25">
      <c r="B217" s="810"/>
      <c r="C217" s="810"/>
      <c r="D217" s="183">
        <v>29</v>
      </c>
      <c r="E217" s="187">
        <v>0</v>
      </c>
      <c r="F217" s="184">
        <v>0</v>
      </c>
      <c r="G217" s="184">
        <v>0</v>
      </c>
      <c r="H217" s="187">
        <v>0</v>
      </c>
      <c r="I217" s="184">
        <v>0</v>
      </c>
      <c r="J217" s="184">
        <v>0</v>
      </c>
      <c r="K217" s="187">
        <v>0</v>
      </c>
      <c r="L217" s="184">
        <v>0</v>
      </c>
      <c r="M217" s="184">
        <v>0</v>
      </c>
      <c r="N217" s="187">
        <v>0</v>
      </c>
      <c r="O217" s="184">
        <v>0</v>
      </c>
      <c r="P217" s="184">
        <v>0</v>
      </c>
    </row>
    <row r="218" spans="2:26" x14ac:dyDescent="0.25">
      <c r="B218" s="810"/>
      <c r="C218" s="810"/>
      <c r="D218" s="183" t="s">
        <v>71</v>
      </c>
      <c r="E218" s="187">
        <v>0</v>
      </c>
      <c r="F218" s="184">
        <v>0</v>
      </c>
      <c r="G218" s="184">
        <v>0</v>
      </c>
      <c r="H218" s="187">
        <v>0</v>
      </c>
      <c r="I218" s="184">
        <v>0</v>
      </c>
      <c r="J218" s="184">
        <v>0</v>
      </c>
      <c r="K218" s="187">
        <v>0</v>
      </c>
      <c r="L218" s="184">
        <v>0</v>
      </c>
      <c r="M218" s="184">
        <v>0</v>
      </c>
      <c r="N218" s="187">
        <v>0</v>
      </c>
      <c r="O218" s="184">
        <v>0</v>
      </c>
      <c r="P218" s="184">
        <v>0</v>
      </c>
    </row>
    <row r="219" spans="2:26" x14ac:dyDescent="0.25">
      <c r="B219" s="810"/>
      <c r="C219" s="810"/>
      <c r="D219" s="183" t="s">
        <v>72</v>
      </c>
      <c r="E219" s="187">
        <v>0</v>
      </c>
      <c r="F219" s="184">
        <v>0</v>
      </c>
      <c r="G219" s="184">
        <v>0</v>
      </c>
      <c r="H219" s="187">
        <v>0</v>
      </c>
      <c r="I219" s="184">
        <v>0</v>
      </c>
      <c r="J219" s="184">
        <v>0</v>
      </c>
      <c r="K219" s="187">
        <v>0</v>
      </c>
      <c r="L219" s="184">
        <v>0</v>
      </c>
      <c r="M219" s="184">
        <v>0</v>
      </c>
      <c r="N219" s="187">
        <v>0</v>
      </c>
      <c r="O219" s="184">
        <v>0</v>
      </c>
      <c r="P219" s="184">
        <v>0</v>
      </c>
    </row>
    <row r="220" spans="2:26" x14ac:dyDescent="0.25">
      <c r="B220" s="810"/>
      <c r="C220" s="810"/>
      <c r="D220" s="193" t="s">
        <v>73</v>
      </c>
      <c r="E220" s="187">
        <v>0</v>
      </c>
      <c r="F220" s="194">
        <v>0</v>
      </c>
      <c r="G220" s="194">
        <v>0</v>
      </c>
      <c r="H220" s="187">
        <v>0</v>
      </c>
      <c r="I220" s="194">
        <v>0</v>
      </c>
      <c r="J220" s="194">
        <v>0</v>
      </c>
      <c r="K220" s="187">
        <v>0</v>
      </c>
      <c r="L220" s="194">
        <v>0</v>
      </c>
      <c r="M220" s="194">
        <v>0</v>
      </c>
      <c r="N220" s="187">
        <v>0</v>
      </c>
      <c r="O220" s="184">
        <v>0</v>
      </c>
      <c r="P220" s="184">
        <v>0</v>
      </c>
    </row>
    <row r="221" spans="2:26" ht="15.75" thickBot="1" x14ac:dyDescent="0.3">
      <c r="B221" s="811"/>
      <c r="C221" s="811"/>
      <c r="D221" s="189" t="s">
        <v>69</v>
      </c>
      <c r="E221" s="190">
        <v>4</v>
      </c>
      <c r="F221" s="191">
        <v>0</v>
      </c>
      <c r="G221" s="192">
        <v>4</v>
      </c>
      <c r="H221" s="190">
        <v>11</v>
      </c>
      <c r="I221" s="191">
        <v>2</v>
      </c>
      <c r="J221" s="192">
        <v>9</v>
      </c>
      <c r="K221" s="190">
        <v>11</v>
      </c>
      <c r="L221" s="191">
        <v>2</v>
      </c>
      <c r="M221" s="192">
        <v>9</v>
      </c>
      <c r="N221" s="190">
        <v>6</v>
      </c>
      <c r="O221" s="191">
        <v>4</v>
      </c>
      <c r="P221" s="192">
        <v>2</v>
      </c>
    </row>
    <row r="222" spans="2:26" x14ac:dyDescent="0.25">
      <c r="B222" s="3" t="s">
        <v>1922</v>
      </c>
      <c r="F222" s="14"/>
      <c r="G222" s="14"/>
      <c r="I222" s="519"/>
      <c r="J222" s="519"/>
      <c r="K222" s="518"/>
      <c r="L222" s="519"/>
      <c r="M222" s="519"/>
      <c r="O222" s="519"/>
      <c r="P222" s="519"/>
      <c r="Z222" s="13"/>
    </row>
    <row r="223" spans="2:26" x14ac:dyDescent="0.25">
      <c r="B223" s="3" t="s">
        <v>42</v>
      </c>
      <c r="Z223" s="13"/>
    </row>
    <row r="224" spans="2:26" x14ac:dyDescent="0.25">
      <c r="B224" s="3"/>
      <c r="Z224" s="13"/>
    </row>
    <row r="225" spans="2:37" x14ac:dyDescent="0.25">
      <c r="B225" s="3"/>
      <c r="Z225" s="13"/>
    </row>
    <row r="226" spans="2:37" x14ac:dyDescent="0.25">
      <c r="B226" s="159" t="s">
        <v>142</v>
      </c>
      <c r="Z226" s="13"/>
    </row>
    <row r="227" spans="2:37" x14ac:dyDescent="0.25">
      <c r="Z227" s="13"/>
    </row>
    <row r="228" spans="2:37" x14ac:dyDescent="0.25">
      <c r="B228" s="831" t="s">
        <v>790</v>
      </c>
      <c r="C228" s="831"/>
      <c r="D228" s="831"/>
      <c r="E228" s="831"/>
      <c r="F228" s="831"/>
      <c r="G228" s="831"/>
      <c r="H228" s="831"/>
      <c r="I228" s="831"/>
      <c r="J228" s="831"/>
      <c r="K228" s="831"/>
      <c r="L228" s="831"/>
      <c r="M228" s="831"/>
      <c r="N228" s="831"/>
      <c r="O228" s="831"/>
      <c r="P228" s="831"/>
      <c r="Q228" s="831"/>
      <c r="R228" s="831"/>
      <c r="S228" s="831"/>
      <c r="T228" s="831"/>
      <c r="U228" s="831"/>
      <c r="V228" s="831"/>
      <c r="Z228" s="13"/>
    </row>
    <row r="229" spans="2:37" x14ac:dyDescent="0.25">
      <c r="B229" s="777" t="s">
        <v>2</v>
      </c>
      <c r="C229" s="777"/>
      <c r="D229" s="777" t="s">
        <v>68</v>
      </c>
      <c r="E229" s="828" t="s">
        <v>885</v>
      </c>
      <c r="F229" s="828"/>
      <c r="G229" s="828"/>
      <c r="H229" s="828"/>
      <c r="I229" s="828"/>
      <c r="J229" s="828"/>
      <c r="K229" s="828"/>
      <c r="L229" s="828"/>
      <c r="M229" s="828"/>
      <c r="N229" s="828"/>
      <c r="O229" s="828"/>
      <c r="P229" s="828"/>
      <c r="Q229" s="828"/>
      <c r="R229" s="828"/>
      <c r="S229" s="828"/>
      <c r="T229" s="828"/>
      <c r="U229" s="828"/>
      <c r="V229" s="828"/>
      <c r="X229" s="390"/>
      <c r="AA229" s="390"/>
      <c r="AD229" s="390"/>
    </row>
    <row r="230" spans="2:37" x14ac:dyDescent="0.25">
      <c r="B230" s="778"/>
      <c r="C230" s="778"/>
      <c r="D230" s="778"/>
      <c r="E230" s="781" t="s">
        <v>5</v>
      </c>
      <c r="F230" s="781"/>
      <c r="G230" s="781"/>
      <c r="H230" s="781" t="s">
        <v>6</v>
      </c>
      <c r="I230" s="781"/>
      <c r="J230" s="781"/>
      <c r="K230" s="781" t="s">
        <v>888</v>
      </c>
      <c r="L230" s="781"/>
      <c r="M230" s="781"/>
      <c r="N230" s="781" t="s">
        <v>953</v>
      </c>
      <c r="O230" s="781"/>
      <c r="P230" s="781"/>
      <c r="Q230" s="781" t="s">
        <v>1125</v>
      </c>
      <c r="R230" s="781"/>
      <c r="S230" s="781"/>
      <c r="T230" s="781" t="s">
        <v>1229</v>
      </c>
      <c r="U230" s="781"/>
      <c r="V230" s="781"/>
      <c r="X230" s="390"/>
      <c r="AA230" s="390"/>
      <c r="AD230" s="390"/>
      <c r="AG230" s="397"/>
      <c r="AH230" s="398"/>
      <c r="AI230" s="398"/>
      <c r="AJ230" s="398"/>
      <c r="AK230" s="398"/>
    </row>
    <row r="231" spans="2:37" ht="12.75" customHeight="1" x14ac:dyDescent="0.25">
      <c r="B231" s="809" t="s">
        <v>7</v>
      </c>
      <c r="C231" s="809"/>
      <c r="D231" s="183"/>
      <c r="E231" s="198" t="s">
        <v>77</v>
      </c>
      <c r="F231" s="198" t="s">
        <v>826</v>
      </c>
      <c r="G231" s="403" t="s">
        <v>827</v>
      </c>
      <c r="H231" s="198" t="s">
        <v>77</v>
      </c>
      <c r="I231" s="198" t="s">
        <v>826</v>
      </c>
      <c r="J231" s="198" t="s">
        <v>827</v>
      </c>
      <c r="K231" s="198" t="s">
        <v>77</v>
      </c>
      <c r="L231" s="198" t="s">
        <v>826</v>
      </c>
      <c r="M231" s="198" t="s">
        <v>827</v>
      </c>
      <c r="N231" s="198" t="s">
        <v>77</v>
      </c>
      <c r="O231" s="198" t="s">
        <v>826</v>
      </c>
      <c r="P231" s="198" t="s">
        <v>827</v>
      </c>
      <c r="Q231" s="198" t="s">
        <v>77</v>
      </c>
      <c r="R231" s="198" t="s">
        <v>826</v>
      </c>
      <c r="S231" s="198" t="s">
        <v>827</v>
      </c>
      <c r="T231" s="198" t="s">
        <v>77</v>
      </c>
      <c r="U231" s="198" t="s">
        <v>826</v>
      </c>
      <c r="V231" s="198" t="s">
        <v>827</v>
      </c>
      <c r="X231" s="390"/>
      <c r="AA231" s="390"/>
      <c r="AD231" s="390"/>
      <c r="AG231" s="390"/>
    </row>
    <row r="232" spans="2:37" ht="13.5" customHeight="1" x14ac:dyDescent="0.25">
      <c r="B232" s="810"/>
      <c r="C232" s="810"/>
      <c r="D232" s="183" t="s">
        <v>70</v>
      </c>
      <c r="E232" s="188">
        <v>12</v>
      </c>
      <c r="F232" s="183">
        <v>3</v>
      </c>
      <c r="G232" s="404">
        <v>9</v>
      </c>
      <c r="H232" s="185">
        <v>12</v>
      </c>
      <c r="I232" s="183">
        <v>3</v>
      </c>
      <c r="J232" s="183">
        <v>9</v>
      </c>
      <c r="K232" s="188">
        <v>17</v>
      </c>
      <c r="L232" s="183">
        <v>3</v>
      </c>
      <c r="M232" s="183">
        <v>14</v>
      </c>
      <c r="N232" s="188">
        <v>18</v>
      </c>
      <c r="O232" s="183">
        <v>2</v>
      </c>
      <c r="P232" s="186">
        <v>16</v>
      </c>
      <c r="Q232" s="188">
        <v>20</v>
      </c>
      <c r="R232" s="183">
        <v>3</v>
      </c>
      <c r="S232" s="404">
        <v>17</v>
      </c>
      <c r="T232" s="185">
        <v>22</v>
      </c>
      <c r="U232" s="13">
        <v>3</v>
      </c>
      <c r="V232" s="13">
        <v>19</v>
      </c>
      <c r="X232" s="390"/>
      <c r="AA232" s="390"/>
      <c r="AD232" s="390"/>
      <c r="AG232" s="390"/>
    </row>
    <row r="233" spans="2:37" x14ac:dyDescent="0.25">
      <c r="B233" s="810"/>
      <c r="C233" s="810"/>
      <c r="D233" s="183">
        <v>19</v>
      </c>
      <c r="E233" s="188">
        <v>12</v>
      </c>
      <c r="F233" s="183">
        <v>2</v>
      </c>
      <c r="G233" s="404">
        <v>10</v>
      </c>
      <c r="H233" s="185">
        <v>18</v>
      </c>
      <c r="I233" s="183">
        <v>6</v>
      </c>
      <c r="J233" s="183">
        <v>12</v>
      </c>
      <c r="K233" s="188">
        <v>25</v>
      </c>
      <c r="L233" s="183">
        <v>4</v>
      </c>
      <c r="M233" s="183">
        <v>21</v>
      </c>
      <c r="N233" s="188">
        <v>28</v>
      </c>
      <c r="O233" s="183">
        <v>4</v>
      </c>
      <c r="P233" s="186">
        <v>24</v>
      </c>
      <c r="Q233" s="188">
        <v>26</v>
      </c>
      <c r="R233" s="183">
        <v>3</v>
      </c>
      <c r="S233" s="404">
        <v>23</v>
      </c>
      <c r="T233" s="185">
        <v>20</v>
      </c>
      <c r="U233" s="13">
        <v>7</v>
      </c>
      <c r="V233" s="13">
        <v>13</v>
      </c>
      <c r="X233" s="390"/>
      <c r="AA233" s="390"/>
      <c r="AD233" s="390"/>
      <c r="AG233" s="390"/>
    </row>
    <row r="234" spans="2:37" x14ac:dyDescent="0.25">
      <c r="B234" s="810"/>
      <c r="C234" s="810"/>
      <c r="D234" s="183">
        <v>20</v>
      </c>
      <c r="E234" s="188">
        <v>16</v>
      </c>
      <c r="F234" s="183">
        <v>3</v>
      </c>
      <c r="G234" s="404">
        <v>13</v>
      </c>
      <c r="H234" s="185">
        <v>19</v>
      </c>
      <c r="I234" s="183">
        <v>2</v>
      </c>
      <c r="J234" s="183">
        <v>17</v>
      </c>
      <c r="K234" s="188">
        <v>27</v>
      </c>
      <c r="L234" s="183">
        <v>8</v>
      </c>
      <c r="M234" s="183">
        <v>19</v>
      </c>
      <c r="N234" s="188">
        <v>24</v>
      </c>
      <c r="O234" s="183">
        <v>4</v>
      </c>
      <c r="P234" s="186">
        <v>20</v>
      </c>
      <c r="Q234" s="188">
        <v>27</v>
      </c>
      <c r="R234" s="183">
        <v>4</v>
      </c>
      <c r="S234" s="404">
        <v>23</v>
      </c>
      <c r="T234" s="185">
        <v>20</v>
      </c>
      <c r="U234" s="13">
        <v>3</v>
      </c>
      <c r="V234" s="13">
        <v>17</v>
      </c>
      <c r="X234" s="390"/>
      <c r="AA234" s="390"/>
      <c r="AD234" s="390"/>
      <c r="AG234" s="390"/>
    </row>
    <row r="235" spans="2:37" x14ac:dyDescent="0.25">
      <c r="B235" s="810"/>
      <c r="C235" s="810"/>
      <c r="D235" s="183">
        <v>21</v>
      </c>
      <c r="E235" s="188">
        <v>12</v>
      </c>
      <c r="F235" s="183">
        <v>3</v>
      </c>
      <c r="G235" s="404">
        <v>9</v>
      </c>
      <c r="H235" s="185">
        <v>15</v>
      </c>
      <c r="I235" s="183">
        <v>3</v>
      </c>
      <c r="J235" s="183">
        <v>12</v>
      </c>
      <c r="K235" s="188">
        <v>21</v>
      </c>
      <c r="L235" s="183">
        <v>1</v>
      </c>
      <c r="M235" s="183">
        <v>20</v>
      </c>
      <c r="N235" s="188">
        <v>31</v>
      </c>
      <c r="O235" s="183">
        <v>7</v>
      </c>
      <c r="P235" s="186">
        <v>24</v>
      </c>
      <c r="Q235" s="188">
        <v>26</v>
      </c>
      <c r="R235" s="183">
        <v>3</v>
      </c>
      <c r="S235" s="404">
        <v>23</v>
      </c>
      <c r="T235" s="185">
        <v>24</v>
      </c>
      <c r="U235" s="13">
        <v>2</v>
      </c>
      <c r="V235" s="13">
        <v>22</v>
      </c>
      <c r="X235" s="390"/>
      <c r="AA235" s="390"/>
      <c r="AD235" s="390"/>
      <c r="AG235" s="390"/>
    </row>
    <row r="236" spans="2:37" x14ac:dyDescent="0.25">
      <c r="B236" s="810"/>
      <c r="C236" s="810"/>
      <c r="D236" s="183">
        <v>22</v>
      </c>
      <c r="E236" s="188">
        <v>5</v>
      </c>
      <c r="F236" s="183">
        <v>0</v>
      </c>
      <c r="G236" s="404">
        <v>5</v>
      </c>
      <c r="H236" s="185">
        <v>10</v>
      </c>
      <c r="I236" s="183">
        <v>1</v>
      </c>
      <c r="J236" s="183">
        <v>9</v>
      </c>
      <c r="K236" s="188">
        <v>13</v>
      </c>
      <c r="L236" s="183">
        <v>3</v>
      </c>
      <c r="M236" s="183">
        <v>10</v>
      </c>
      <c r="N236" s="188">
        <v>16</v>
      </c>
      <c r="O236" s="183">
        <v>1</v>
      </c>
      <c r="P236" s="186">
        <v>15</v>
      </c>
      <c r="Q236" s="188">
        <v>19</v>
      </c>
      <c r="R236" s="183">
        <v>6</v>
      </c>
      <c r="S236" s="404">
        <v>13</v>
      </c>
      <c r="T236" s="185">
        <v>16</v>
      </c>
      <c r="U236" s="13">
        <v>1</v>
      </c>
      <c r="V236" s="13">
        <v>15</v>
      </c>
      <c r="X236" s="390"/>
      <c r="AA236" s="390"/>
      <c r="AD236" s="390"/>
      <c r="AG236" s="390"/>
    </row>
    <row r="237" spans="2:37" x14ac:dyDescent="0.25">
      <c r="B237" s="810"/>
      <c r="C237" s="810"/>
      <c r="D237" s="183">
        <v>23</v>
      </c>
      <c r="E237" s="188">
        <v>4</v>
      </c>
      <c r="F237" s="183">
        <v>1</v>
      </c>
      <c r="G237" s="404">
        <v>3</v>
      </c>
      <c r="H237" s="185">
        <v>4</v>
      </c>
      <c r="I237" s="183">
        <v>0</v>
      </c>
      <c r="J237" s="183">
        <v>4</v>
      </c>
      <c r="K237" s="188">
        <v>10</v>
      </c>
      <c r="L237" s="183">
        <v>1</v>
      </c>
      <c r="M237" s="183">
        <v>9</v>
      </c>
      <c r="N237" s="188">
        <v>11</v>
      </c>
      <c r="O237" s="183">
        <v>3</v>
      </c>
      <c r="P237" s="186">
        <v>8</v>
      </c>
      <c r="Q237" s="188">
        <v>12</v>
      </c>
      <c r="R237" s="183">
        <v>0</v>
      </c>
      <c r="S237" s="404">
        <v>12</v>
      </c>
      <c r="T237" s="185">
        <v>14</v>
      </c>
      <c r="U237" s="13">
        <v>3</v>
      </c>
      <c r="V237" s="13">
        <v>11</v>
      </c>
      <c r="X237" s="390"/>
      <c r="AA237" s="390"/>
      <c r="AD237" s="390"/>
      <c r="AG237" s="390"/>
    </row>
    <row r="238" spans="2:37" x14ac:dyDescent="0.25">
      <c r="B238" s="810"/>
      <c r="C238" s="810"/>
      <c r="D238" s="183">
        <v>24</v>
      </c>
      <c r="E238" s="188">
        <v>10</v>
      </c>
      <c r="F238" s="183">
        <v>2</v>
      </c>
      <c r="G238" s="404">
        <v>8</v>
      </c>
      <c r="H238" s="185">
        <v>4</v>
      </c>
      <c r="I238" s="183">
        <v>0</v>
      </c>
      <c r="J238" s="183">
        <v>4</v>
      </c>
      <c r="K238" s="188">
        <v>4</v>
      </c>
      <c r="L238" s="183">
        <v>0</v>
      </c>
      <c r="M238" s="183">
        <v>4</v>
      </c>
      <c r="N238" s="188">
        <v>7</v>
      </c>
      <c r="O238" s="183">
        <v>2</v>
      </c>
      <c r="P238" s="186">
        <v>5</v>
      </c>
      <c r="Q238" s="188">
        <v>12</v>
      </c>
      <c r="R238" s="183">
        <v>3</v>
      </c>
      <c r="S238" s="404">
        <v>9</v>
      </c>
      <c r="T238" s="185">
        <v>10</v>
      </c>
      <c r="U238" s="13">
        <v>0</v>
      </c>
      <c r="V238" s="13">
        <v>10</v>
      </c>
      <c r="X238" s="390"/>
      <c r="AA238" s="390"/>
      <c r="AD238" s="390"/>
      <c r="AG238" s="390"/>
    </row>
    <row r="239" spans="2:37" x14ac:dyDescent="0.25">
      <c r="B239" s="810"/>
      <c r="C239" s="810"/>
      <c r="D239" s="183">
        <v>25</v>
      </c>
      <c r="E239" s="188">
        <v>5</v>
      </c>
      <c r="F239" s="183">
        <v>0</v>
      </c>
      <c r="G239" s="404">
        <v>5</v>
      </c>
      <c r="H239" s="185">
        <v>6</v>
      </c>
      <c r="I239" s="183">
        <v>0</v>
      </c>
      <c r="J239" s="183">
        <v>6</v>
      </c>
      <c r="K239" s="188">
        <v>2</v>
      </c>
      <c r="L239" s="183">
        <v>0</v>
      </c>
      <c r="M239" s="183">
        <v>2</v>
      </c>
      <c r="N239" s="188">
        <v>3</v>
      </c>
      <c r="O239" s="183">
        <v>0</v>
      </c>
      <c r="P239" s="186">
        <v>3</v>
      </c>
      <c r="Q239" s="188">
        <v>4</v>
      </c>
      <c r="R239" s="183">
        <v>1</v>
      </c>
      <c r="S239" s="404">
        <v>3</v>
      </c>
      <c r="T239" s="185">
        <v>11</v>
      </c>
      <c r="U239" s="13">
        <v>3</v>
      </c>
      <c r="V239" s="13">
        <v>8</v>
      </c>
      <c r="X239" s="390"/>
      <c r="AA239" s="390"/>
      <c r="AD239" s="390"/>
      <c r="AG239" s="390"/>
    </row>
    <row r="240" spans="2:37" x14ac:dyDescent="0.25">
      <c r="B240" s="810"/>
      <c r="C240" s="810"/>
      <c r="D240" s="183">
        <v>26</v>
      </c>
      <c r="E240" s="188">
        <v>6</v>
      </c>
      <c r="F240" s="183">
        <v>0</v>
      </c>
      <c r="G240" s="404">
        <v>6</v>
      </c>
      <c r="H240" s="185">
        <v>5</v>
      </c>
      <c r="I240" s="183">
        <v>0</v>
      </c>
      <c r="J240" s="183">
        <v>5</v>
      </c>
      <c r="K240" s="188">
        <v>4</v>
      </c>
      <c r="L240" s="183">
        <v>0</v>
      </c>
      <c r="M240" s="183">
        <v>4</v>
      </c>
      <c r="N240" s="188">
        <v>1</v>
      </c>
      <c r="O240" s="183">
        <v>0</v>
      </c>
      <c r="P240" s="186">
        <v>1</v>
      </c>
      <c r="Q240" s="188">
        <v>3</v>
      </c>
      <c r="R240" s="183">
        <v>0</v>
      </c>
      <c r="S240" s="404">
        <v>3</v>
      </c>
      <c r="T240" s="185">
        <v>4</v>
      </c>
      <c r="U240" s="13">
        <v>0</v>
      </c>
      <c r="V240" s="13">
        <v>4</v>
      </c>
      <c r="X240" s="390"/>
      <c r="AA240" s="390"/>
      <c r="AD240" s="390"/>
      <c r="AG240" s="390"/>
    </row>
    <row r="241" spans="2:34" x14ac:dyDescent="0.25">
      <c r="B241" s="810"/>
      <c r="C241" s="810"/>
      <c r="D241" s="183">
        <v>27</v>
      </c>
      <c r="E241" s="188">
        <v>4</v>
      </c>
      <c r="F241" s="183">
        <v>0</v>
      </c>
      <c r="G241" s="404">
        <v>4</v>
      </c>
      <c r="H241" s="185">
        <v>2</v>
      </c>
      <c r="I241" s="183">
        <v>1</v>
      </c>
      <c r="J241" s="183">
        <v>1</v>
      </c>
      <c r="K241" s="188">
        <v>3</v>
      </c>
      <c r="L241" s="183">
        <v>0</v>
      </c>
      <c r="M241" s="183">
        <v>3</v>
      </c>
      <c r="N241" s="188">
        <v>2</v>
      </c>
      <c r="O241" s="183">
        <v>0</v>
      </c>
      <c r="P241" s="186">
        <v>2</v>
      </c>
      <c r="Q241" s="188">
        <v>1</v>
      </c>
      <c r="R241" s="183">
        <v>0</v>
      </c>
      <c r="S241" s="404">
        <v>1</v>
      </c>
      <c r="T241" s="185">
        <v>1</v>
      </c>
      <c r="U241" s="13">
        <v>0</v>
      </c>
      <c r="V241" s="13">
        <v>1</v>
      </c>
      <c r="X241" s="390"/>
      <c r="AA241" s="390"/>
      <c r="AD241" s="390"/>
      <c r="AG241" s="390"/>
    </row>
    <row r="242" spans="2:34" x14ac:dyDescent="0.25">
      <c r="B242" s="810"/>
      <c r="C242" s="810"/>
      <c r="D242" s="183">
        <v>28</v>
      </c>
      <c r="E242" s="188">
        <v>5</v>
      </c>
      <c r="F242" s="183">
        <v>0</v>
      </c>
      <c r="G242" s="404">
        <v>5</v>
      </c>
      <c r="H242" s="185">
        <v>2</v>
      </c>
      <c r="I242" s="183">
        <v>0</v>
      </c>
      <c r="J242" s="183">
        <v>2</v>
      </c>
      <c r="K242" s="188">
        <v>1</v>
      </c>
      <c r="L242" s="183">
        <v>0</v>
      </c>
      <c r="M242" s="183">
        <v>1</v>
      </c>
      <c r="N242" s="188">
        <v>1</v>
      </c>
      <c r="O242" s="183">
        <v>0</v>
      </c>
      <c r="P242" s="186">
        <v>1</v>
      </c>
      <c r="Q242" s="188">
        <v>2</v>
      </c>
      <c r="R242" s="183">
        <v>0</v>
      </c>
      <c r="S242" s="404">
        <v>2</v>
      </c>
      <c r="T242" s="185">
        <v>1</v>
      </c>
      <c r="U242" s="13">
        <v>0</v>
      </c>
      <c r="V242" s="13">
        <v>1</v>
      </c>
      <c r="X242" s="390"/>
      <c r="AA242" s="390"/>
      <c r="AD242" s="390"/>
      <c r="AG242" s="390"/>
    </row>
    <row r="243" spans="2:34" x14ac:dyDescent="0.25">
      <c r="B243" s="810"/>
      <c r="C243" s="810"/>
      <c r="D243" s="183">
        <v>29</v>
      </c>
      <c r="E243" s="188">
        <v>1</v>
      </c>
      <c r="F243" s="183">
        <v>0</v>
      </c>
      <c r="G243" s="404">
        <v>1</v>
      </c>
      <c r="H243" s="185">
        <v>1</v>
      </c>
      <c r="I243" s="183">
        <v>0</v>
      </c>
      <c r="J243" s="183">
        <v>1</v>
      </c>
      <c r="K243" s="188">
        <v>0</v>
      </c>
      <c r="L243" s="183">
        <v>0</v>
      </c>
      <c r="M243" s="183">
        <v>0</v>
      </c>
      <c r="N243" s="188">
        <v>0</v>
      </c>
      <c r="O243" s="183">
        <v>0</v>
      </c>
      <c r="P243" s="186">
        <v>0</v>
      </c>
      <c r="Q243" s="188">
        <v>1</v>
      </c>
      <c r="R243" s="183">
        <v>0</v>
      </c>
      <c r="S243" s="404">
        <v>1</v>
      </c>
      <c r="T243" s="185">
        <v>3</v>
      </c>
      <c r="U243" s="13">
        <v>1</v>
      </c>
      <c r="V243" s="13">
        <v>2</v>
      </c>
      <c r="X243" s="390"/>
      <c r="AA243" s="390"/>
      <c r="AD243" s="390"/>
      <c r="AG243" s="390"/>
    </row>
    <row r="244" spans="2:34" x14ac:dyDescent="0.25">
      <c r="B244" s="810"/>
      <c r="C244" s="810"/>
      <c r="D244" s="183" t="s">
        <v>71</v>
      </c>
      <c r="E244" s="188">
        <v>4</v>
      </c>
      <c r="F244" s="183">
        <v>0</v>
      </c>
      <c r="G244" s="404">
        <v>4</v>
      </c>
      <c r="H244" s="185">
        <v>6</v>
      </c>
      <c r="I244" s="183">
        <v>0</v>
      </c>
      <c r="J244" s="183">
        <v>6</v>
      </c>
      <c r="K244" s="188">
        <v>4</v>
      </c>
      <c r="L244" s="183">
        <v>0</v>
      </c>
      <c r="M244" s="183">
        <v>4</v>
      </c>
      <c r="N244" s="188">
        <v>0</v>
      </c>
      <c r="O244" s="183">
        <v>0</v>
      </c>
      <c r="P244" s="186">
        <v>0</v>
      </c>
      <c r="Q244" s="188">
        <v>2</v>
      </c>
      <c r="R244" s="183">
        <v>0</v>
      </c>
      <c r="S244" s="404">
        <v>2</v>
      </c>
      <c r="T244" s="185">
        <v>0</v>
      </c>
      <c r="U244" s="13">
        <v>0</v>
      </c>
      <c r="V244" s="13">
        <v>6</v>
      </c>
      <c r="X244" s="390"/>
      <c r="AA244" s="390"/>
      <c r="AD244" s="390"/>
      <c r="AG244" s="390"/>
    </row>
    <row r="245" spans="2:34" x14ac:dyDescent="0.25">
      <c r="B245" s="810"/>
      <c r="C245" s="810"/>
      <c r="D245" s="183" t="s">
        <v>72</v>
      </c>
      <c r="E245" s="188">
        <v>1</v>
      </c>
      <c r="F245" s="183">
        <v>0</v>
      </c>
      <c r="G245" s="404">
        <v>1</v>
      </c>
      <c r="H245" s="185">
        <v>1</v>
      </c>
      <c r="I245" s="183">
        <v>0</v>
      </c>
      <c r="J245" s="183">
        <v>1</v>
      </c>
      <c r="K245" s="188">
        <v>1</v>
      </c>
      <c r="L245" s="183">
        <v>0</v>
      </c>
      <c r="M245" s="183">
        <v>1</v>
      </c>
      <c r="N245" s="188">
        <v>0</v>
      </c>
      <c r="O245" s="183">
        <v>0</v>
      </c>
      <c r="P245" s="186">
        <v>0</v>
      </c>
      <c r="Q245" s="188">
        <v>0</v>
      </c>
      <c r="R245" s="183">
        <v>0</v>
      </c>
      <c r="S245" s="404">
        <v>0</v>
      </c>
      <c r="T245" s="185">
        <v>0</v>
      </c>
      <c r="U245" s="13">
        <v>0</v>
      </c>
      <c r="V245" s="13">
        <v>0</v>
      </c>
      <c r="X245" s="390"/>
      <c r="AA245" s="390"/>
      <c r="AD245" s="390"/>
      <c r="AG245" s="390"/>
    </row>
    <row r="246" spans="2:34" x14ac:dyDescent="0.25">
      <c r="B246" s="810"/>
      <c r="C246" s="810"/>
      <c r="D246" s="193" t="s">
        <v>73</v>
      </c>
      <c r="E246" s="195">
        <v>2</v>
      </c>
      <c r="F246" s="193">
        <v>0</v>
      </c>
      <c r="G246" s="405">
        <v>2</v>
      </c>
      <c r="H246" s="197">
        <v>3</v>
      </c>
      <c r="I246" s="193">
        <v>0</v>
      </c>
      <c r="J246" s="183">
        <v>3</v>
      </c>
      <c r="K246" s="188">
        <v>4</v>
      </c>
      <c r="L246" s="193">
        <v>0</v>
      </c>
      <c r="M246" s="183">
        <v>4</v>
      </c>
      <c r="N246" s="188">
        <v>4</v>
      </c>
      <c r="O246" s="193">
        <v>0</v>
      </c>
      <c r="P246" s="196">
        <v>4</v>
      </c>
      <c r="Q246" s="195">
        <v>3</v>
      </c>
      <c r="R246" s="193">
        <v>0</v>
      </c>
      <c r="S246" s="405">
        <v>3</v>
      </c>
      <c r="T246" s="185">
        <v>0</v>
      </c>
      <c r="U246" s="13">
        <v>0</v>
      </c>
      <c r="V246" s="13">
        <v>3</v>
      </c>
    </row>
    <row r="247" spans="2:34" ht="15.75" thickBot="1" x14ac:dyDescent="0.3">
      <c r="B247" s="811"/>
      <c r="C247" s="811"/>
      <c r="D247" s="189" t="s">
        <v>69</v>
      </c>
      <c r="E247" s="190">
        <v>99</v>
      </c>
      <c r="F247" s="270">
        <v>14</v>
      </c>
      <c r="G247" s="408">
        <v>85</v>
      </c>
      <c r="H247" s="190">
        <v>108</v>
      </c>
      <c r="I247" s="270">
        <v>16</v>
      </c>
      <c r="J247" s="270">
        <v>92</v>
      </c>
      <c r="K247" s="190">
        <v>136</v>
      </c>
      <c r="L247" s="270">
        <v>20</v>
      </c>
      <c r="M247" s="270">
        <v>116</v>
      </c>
      <c r="N247" s="190">
        <v>146</v>
      </c>
      <c r="O247" s="270">
        <v>23</v>
      </c>
      <c r="P247" s="270">
        <v>123</v>
      </c>
      <c r="Q247" s="190">
        <v>158</v>
      </c>
      <c r="R247" s="270">
        <v>23</v>
      </c>
      <c r="S247" s="408">
        <v>135</v>
      </c>
      <c r="T247" s="190">
        <v>155</v>
      </c>
      <c r="U247" s="270">
        <v>23</v>
      </c>
      <c r="V247" s="408">
        <v>132</v>
      </c>
      <c r="AG247" s="397"/>
      <c r="AH247" s="398"/>
    </row>
    <row r="248" spans="2:34" x14ac:dyDescent="0.25"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U248" s="14"/>
      <c r="V248" s="14"/>
    </row>
    <row r="249" spans="2:34" x14ac:dyDescent="0.25">
      <c r="B249" s="777" t="s">
        <v>2</v>
      </c>
      <c r="C249" s="777"/>
      <c r="D249" s="777" t="s">
        <v>68</v>
      </c>
      <c r="E249" s="828" t="s">
        <v>885</v>
      </c>
      <c r="F249" s="828"/>
      <c r="G249" s="828"/>
      <c r="H249" s="828"/>
      <c r="I249" s="828"/>
      <c r="J249" s="828"/>
      <c r="K249" s="828"/>
      <c r="L249" s="828"/>
      <c r="M249" s="828"/>
      <c r="N249" s="828"/>
      <c r="O249" s="828"/>
      <c r="P249" s="828"/>
      <c r="Q249" s="828"/>
      <c r="R249" s="828"/>
      <c r="S249" s="828"/>
      <c r="T249" s="828"/>
      <c r="U249" s="828"/>
      <c r="V249" s="828"/>
    </row>
    <row r="250" spans="2:34" x14ac:dyDescent="0.25">
      <c r="B250" s="778"/>
      <c r="C250" s="778"/>
      <c r="D250" s="778"/>
      <c r="E250" s="781" t="s">
        <v>5</v>
      </c>
      <c r="F250" s="781"/>
      <c r="G250" s="781"/>
      <c r="H250" s="781" t="s">
        <v>6</v>
      </c>
      <c r="I250" s="781"/>
      <c r="J250" s="781"/>
      <c r="K250" s="781" t="s">
        <v>888</v>
      </c>
      <c r="L250" s="781"/>
      <c r="M250" s="781"/>
      <c r="N250" s="781" t="s">
        <v>953</v>
      </c>
      <c r="O250" s="781"/>
      <c r="P250" s="781"/>
      <c r="Q250" s="781" t="s">
        <v>1125</v>
      </c>
      <c r="R250" s="781"/>
      <c r="S250" s="781"/>
      <c r="T250" s="781" t="s">
        <v>1229</v>
      </c>
      <c r="U250" s="781"/>
      <c r="V250" s="781"/>
    </row>
    <row r="251" spans="2:34" ht="12.75" customHeight="1" x14ac:dyDescent="0.25">
      <c r="B251" s="809" t="s">
        <v>8</v>
      </c>
      <c r="C251" s="809"/>
      <c r="D251" s="183"/>
      <c r="E251" s="198" t="s">
        <v>77</v>
      </c>
      <c r="F251" s="198" t="s">
        <v>826</v>
      </c>
      <c r="G251" s="403" t="s">
        <v>827</v>
      </c>
      <c r="H251" s="198" t="s">
        <v>77</v>
      </c>
      <c r="I251" s="198" t="s">
        <v>826</v>
      </c>
      <c r="J251" s="198" t="s">
        <v>827</v>
      </c>
      <c r="K251" s="198" t="s">
        <v>77</v>
      </c>
      <c r="L251" s="198" t="s">
        <v>826</v>
      </c>
      <c r="M251" s="198" t="s">
        <v>827</v>
      </c>
      <c r="N251" s="198" t="s">
        <v>77</v>
      </c>
      <c r="O251" s="198" t="s">
        <v>826</v>
      </c>
      <c r="P251" s="198" t="s">
        <v>827</v>
      </c>
      <c r="Q251" s="198" t="s">
        <v>77</v>
      </c>
      <c r="R251" s="198" t="s">
        <v>826</v>
      </c>
      <c r="S251" s="198" t="s">
        <v>827</v>
      </c>
      <c r="T251" s="198" t="s">
        <v>77</v>
      </c>
      <c r="U251" s="198" t="s">
        <v>826</v>
      </c>
      <c r="V251" s="198" t="s">
        <v>827</v>
      </c>
    </row>
    <row r="252" spans="2:34" ht="13.5" customHeight="1" x14ac:dyDescent="0.25">
      <c r="B252" s="810"/>
      <c r="C252" s="810"/>
      <c r="D252" s="183" t="s">
        <v>70</v>
      </c>
      <c r="E252" s="188">
        <v>25</v>
      </c>
      <c r="F252" s="183">
        <v>14</v>
      </c>
      <c r="G252" s="205">
        <v>11</v>
      </c>
      <c r="H252" s="188">
        <v>18</v>
      </c>
      <c r="I252" s="183">
        <v>11</v>
      </c>
      <c r="J252" s="186">
        <v>7</v>
      </c>
      <c r="K252" s="188">
        <v>18</v>
      </c>
      <c r="L252" s="183">
        <v>10</v>
      </c>
      <c r="M252" s="186">
        <v>8</v>
      </c>
      <c r="N252" s="188">
        <v>26</v>
      </c>
      <c r="O252" s="183">
        <v>12</v>
      </c>
      <c r="P252" s="186">
        <v>14</v>
      </c>
      <c r="Q252" s="185">
        <v>26</v>
      </c>
      <c r="R252" s="183">
        <v>13</v>
      </c>
      <c r="S252" s="205">
        <v>13</v>
      </c>
      <c r="T252" s="188">
        <v>30</v>
      </c>
      <c r="U252" s="183">
        <v>15</v>
      </c>
      <c r="V252" s="186">
        <v>15</v>
      </c>
    </row>
    <row r="253" spans="2:34" x14ac:dyDescent="0.25">
      <c r="B253" s="810"/>
      <c r="C253" s="810"/>
      <c r="D253" s="183">
        <v>19</v>
      </c>
      <c r="E253" s="188">
        <v>22</v>
      </c>
      <c r="F253" s="183">
        <v>10</v>
      </c>
      <c r="G253" s="205">
        <v>12</v>
      </c>
      <c r="H253" s="188">
        <v>34</v>
      </c>
      <c r="I253" s="183">
        <v>17</v>
      </c>
      <c r="J253" s="186">
        <v>17</v>
      </c>
      <c r="K253" s="188">
        <v>28</v>
      </c>
      <c r="L253" s="183">
        <v>15</v>
      </c>
      <c r="M253" s="186">
        <v>13</v>
      </c>
      <c r="N253" s="188">
        <v>30</v>
      </c>
      <c r="O253" s="183">
        <v>19</v>
      </c>
      <c r="P253" s="186">
        <v>11</v>
      </c>
      <c r="Q253" s="185">
        <v>41</v>
      </c>
      <c r="R253" s="183">
        <v>18</v>
      </c>
      <c r="S253" s="205">
        <v>23</v>
      </c>
      <c r="T253" s="188">
        <v>36</v>
      </c>
      <c r="U253" s="183">
        <v>18</v>
      </c>
      <c r="V253" s="186">
        <v>18</v>
      </c>
    </row>
    <row r="254" spans="2:34" x14ac:dyDescent="0.25">
      <c r="B254" s="810"/>
      <c r="C254" s="810"/>
      <c r="D254" s="183">
        <v>20</v>
      </c>
      <c r="E254" s="188">
        <v>37</v>
      </c>
      <c r="F254" s="183">
        <v>15</v>
      </c>
      <c r="G254" s="205">
        <v>22</v>
      </c>
      <c r="H254" s="188">
        <v>27</v>
      </c>
      <c r="I254" s="183">
        <v>12</v>
      </c>
      <c r="J254" s="186">
        <v>15</v>
      </c>
      <c r="K254" s="188">
        <v>43</v>
      </c>
      <c r="L254" s="183">
        <v>20</v>
      </c>
      <c r="M254" s="186">
        <v>23</v>
      </c>
      <c r="N254" s="188">
        <v>36</v>
      </c>
      <c r="O254" s="183">
        <v>20</v>
      </c>
      <c r="P254" s="186">
        <v>16</v>
      </c>
      <c r="Q254" s="185">
        <v>36</v>
      </c>
      <c r="R254" s="183">
        <v>19</v>
      </c>
      <c r="S254" s="205">
        <v>17</v>
      </c>
      <c r="T254" s="188">
        <v>48</v>
      </c>
      <c r="U254" s="183">
        <v>22</v>
      </c>
      <c r="V254" s="186">
        <v>26</v>
      </c>
    </row>
    <row r="255" spans="2:34" x14ac:dyDescent="0.25">
      <c r="B255" s="810"/>
      <c r="C255" s="810"/>
      <c r="D255" s="183">
        <v>21</v>
      </c>
      <c r="E255" s="188">
        <v>46</v>
      </c>
      <c r="F255" s="183">
        <v>23</v>
      </c>
      <c r="G255" s="205">
        <v>23</v>
      </c>
      <c r="H255" s="188">
        <v>44</v>
      </c>
      <c r="I255" s="183">
        <v>18</v>
      </c>
      <c r="J255" s="186">
        <v>26</v>
      </c>
      <c r="K255" s="188">
        <v>28</v>
      </c>
      <c r="L255" s="183">
        <v>13</v>
      </c>
      <c r="M255" s="186">
        <v>15</v>
      </c>
      <c r="N255" s="188">
        <v>49</v>
      </c>
      <c r="O255" s="183">
        <v>22</v>
      </c>
      <c r="P255" s="186">
        <v>27</v>
      </c>
      <c r="Q255" s="185">
        <v>37</v>
      </c>
      <c r="R255" s="183">
        <v>19</v>
      </c>
      <c r="S255" s="205">
        <v>18</v>
      </c>
      <c r="T255" s="188">
        <v>44</v>
      </c>
      <c r="U255" s="183">
        <v>21</v>
      </c>
      <c r="V255" s="186">
        <v>23</v>
      </c>
    </row>
    <row r="256" spans="2:34" x14ac:dyDescent="0.25">
      <c r="B256" s="810"/>
      <c r="C256" s="810"/>
      <c r="D256" s="183">
        <v>22</v>
      </c>
      <c r="E256" s="188">
        <v>36</v>
      </c>
      <c r="F256" s="183">
        <v>15</v>
      </c>
      <c r="G256" s="205">
        <v>21</v>
      </c>
      <c r="H256" s="188">
        <v>40</v>
      </c>
      <c r="I256" s="183">
        <v>18</v>
      </c>
      <c r="J256" s="186">
        <v>22</v>
      </c>
      <c r="K256" s="188">
        <v>41</v>
      </c>
      <c r="L256" s="183">
        <v>15</v>
      </c>
      <c r="M256" s="186">
        <v>26</v>
      </c>
      <c r="N256" s="188">
        <v>24</v>
      </c>
      <c r="O256" s="183">
        <v>11</v>
      </c>
      <c r="P256" s="186">
        <v>13</v>
      </c>
      <c r="Q256" s="185">
        <v>35</v>
      </c>
      <c r="R256" s="183">
        <v>15</v>
      </c>
      <c r="S256" s="205">
        <v>20</v>
      </c>
      <c r="T256" s="188">
        <v>33</v>
      </c>
      <c r="U256" s="183">
        <v>18</v>
      </c>
      <c r="V256" s="186">
        <v>15</v>
      </c>
    </row>
    <row r="257" spans="2:22" x14ac:dyDescent="0.25">
      <c r="B257" s="810"/>
      <c r="C257" s="810"/>
      <c r="D257" s="183">
        <v>23</v>
      </c>
      <c r="E257" s="188">
        <v>20</v>
      </c>
      <c r="F257" s="183">
        <v>6</v>
      </c>
      <c r="G257" s="205">
        <v>14</v>
      </c>
      <c r="H257" s="188">
        <v>26</v>
      </c>
      <c r="I257" s="183">
        <v>11</v>
      </c>
      <c r="J257" s="186">
        <v>15</v>
      </c>
      <c r="K257" s="188">
        <v>29</v>
      </c>
      <c r="L257" s="183">
        <v>12</v>
      </c>
      <c r="M257" s="186">
        <v>17</v>
      </c>
      <c r="N257" s="188">
        <v>26</v>
      </c>
      <c r="O257" s="183">
        <v>10</v>
      </c>
      <c r="P257" s="186">
        <v>16</v>
      </c>
      <c r="Q257" s="185">
        <v>19</v>
      </c>
      <c r="R257" s="183">
        <v>9</v>
      </c>
      <c r="S257" s="205">
        <v>10</v>
      </c>
      <c r="T257" s="188">
        <v>30</v>
      </c>
      <c r="U257" s="183">
        <v>13</v>
      </c>
      <c r="V257" s="186">
        <v>17</v>
      </c>
    </row>
    <row r="258" spans="2:22" x14ac:dyDescent="0.25">
      <c r="B258" s="810"/>
      <c r="C258" s="810"/>
      <c r="D258" s="183">
        <v>24</v>
      </c>
      <c r="E258" s="188">
        <v>12</v>
      </c>
      <c r="F258" s="183">
        <v>5</v>
      </c>
      <c r="G258" s="205">
        <v>7</v>
      </c>
      <c r="H258" s="188">
        <v>15</v>
      </c>
      <c r="I258" s="183">
        <v>2</v>
      </c>
      <c r="J258" s="186">
        <v>13</v>
      </c>
      <c r="K258" s="188">
        <v>14</v>
      </c>
      <c r="L258" s="183">
        <v>6</v>
      </c>
      <c r="M258" s="186">
        <v>8</v>
      </c>
      <c r="N258" s="188">
        <v>10</v>
      </c>
      <c r="O258" s="183">
        <v>3</v>
      </c>
      <c r="P258" s="186">
        <v>7</v>
      </c>
      <c r="Q258" s="185">
        <v>15</v>
      </c>
      <c r="R258" s="183">
        <v>5</v>
      </c>
      <c r="S258" s="205">
        <v>10</v>
      </c>
      <c r="T258" s="188">
        <v>16</v>
      </c>
      <c r="U258" s="183">
        <v>5</v>
      </c>
      <c r="V258" s="186">
        <v>11</v>
      </c>
    </row>
    <row r="259" spans="2:22" x14ac:dyDescent="0.25">
      <c r="B259" s="810"/>
      <c r="C259" s="810"/>
      <c r="D259" s="183">
        <v>25</v>
      </c>
      <c r="E259" s="188">
        <v>10</v>
      </c>
      <c r="F259" s="183">
        <v>3</v>
      </c>
      <c r="G259" s="205">
        <v>7</v>
      </c>
      <c r="H259" s="188">
        <v>12</v>
      </c>
      <c r="I259" s="183">
        <v>5</v>
      </c>
      <c r="J259" s="186">
        <v>7</v>
      </c>
      <c r="K259" s="188">
        <v>11</v>
      </c>
      <c r="L259" s="183">
        <v>2</v>
      </c>
      <c r="M259" s="186">
        <v>9</v>
      </c>
      <c r="N259" s="188">
        <v>8</v>
      </c>
      <c r="O259" s="183">
        <v>3</v>
      </c>
      <c r="P259" s="186">
        <v>5</v>
      </c>
      <c r="Q259" s="185">
        <v>6</v>
      </c>
      <c r="R259" s="183">
        <v>2</v>
      </c>
      <c r="S259" s="205">
        <v>4</v>
      </c>
      <c r="T259" s="188">
        <v>9</v>
      </c>
      <c r="U259" s="183">
        <v>4</v>
      </c>
      <c r="V259" s="186">
        <v>5</v>
      </c>
    </row>
    <row r="260" spans="2:22" x14ac:dyDescent="0.25">
      <c r="B260" s="810"/>
      <c r="C260" s="810"/>
      <c r="D260" s="183">
        <v>26</v>
      </c>
      <c r="E260" s="188">
        <v>9</v>
      </c>
      <c r="F260" s="183">
        <v>2</v>
      </c>
      <c r="G260" s="205">
        <v>7</v>
      </c>
      <c r="H260" s="188">
        <v>5</v>
      </c>
      <c r="I260" s="183">
        <v>1</v>
      </c>
      <c r="J260" s="186">
        <v>4</v>
      </c>
      <c r="K260" s="188">
        <v>8</v>
      </c>
      <c r="L260" s="183">
        <v>5</v>
      </c>
      <c r="M260" s="186">
        <v>3</v>
      </c>
      <c r="N260" s="188">
        <v>9</v>
      </c>
      <c r="O260" s="183">
        <v>2</v>
      </c>
      <c r="P260" s="186">
        <v>7</v>
      </c>
      <c r="Q260" s="185">
        <v>3</v>
      </c>
      <c r="R260" s="183">
        <v>2</v>
      </c>
      <c r="S260" s="205">
        <v>1</v>
      </c>
      <c r="T260" s="188">
        <v>2</v>
      </c>
      <c r="U260" s="183">
        <v>1</v>
      </c>
      <c r="V260" s="186">
        <v>1</v>
      </c>
    </row>
    <row r="261" spans="2:22" x14ac:dyDescent="0.25">
      <c r="B261" s="810"/>
      <c r="C261" s="810"/>
      <c r="D261" s="183">
        <v>27</v>
      </c>
      <c r="E261" s="188">
        <v>9</v>
      </c>
      <c r="F261" s="183">
        <v>4</v>
      </c>
      <c r="G261" s="205">
        <v>5</v>
      </c>
      <c r="H261" s="188">
        <v>5</v>
      </c>
      <c r="I261" s="183">
        <v>0</v>
      </c>
      <c r="J261" s="186">
        <v>5</v>
      </c>
      <c r="K261" s="188">
        <v>4</v>
      </c>
      <c r="L261" s="183">
        <v>1</v>
      </c>
      <c r="M261" s="186">
        <v>3</v>
      </c>
      <c r="N261" s="188">
        <v>3</v>
      </c>
      <c r="O261" s="183">
        <v>1</v>
      </c>
      <c r="P261" s="186">
        <v>2</v>
      </c>
      <c r="Q261" s="185">
        <v>4</v>
      </c>
      <c r="R261" s="183">
        <v>0</v>
      </c>
      <c r="S261" s="205">
        <v>4</v>
      </c>
      <c r="T261" s="188">
        <v>2</v>
      </c>
      <c r="U261" s="183">
        <v>1</v>
      </c>
      <c r="V261" s="186">
        <v>1</v>
      </c>
    </row>
    <row r="262" spans="2:22" x14ac:dyDescent="0.25">
      <c r="B262" s="810"/>
      <c r="C262" s="810"/>
      <c r="D262" s="183">
        <v>28</v>
      </c>
      <c r="E262" s="188">
        <v>4</v>
      </c>
      <c r="F262" s="183">
        <v>1</v>
      </c>
      <c r="G262" s="205">
        <v>3</v>
      </c>
      <c r="H262" s="188">
        <v>7</v>
      </c>
      <c r="I262" s="183">
        <v>3</v>
      </c>
      <c r="J262" s="186">
        <v>4</v>
      </c>
      <c r="K262" s="188">
        <v>4</v>
      </c>
      <c r="L262" s="183">
        <v>0</v>
      </c>
      <c r="M262" s="186">
        <v>4</v>
      </c>
      <c r="N262" s="188">
        <v>2</v>
      </c>
      <c r="O262" s="183">
        <v>0</v>
      </c>
      <c r="P262" s="186">
        <v>2</v>
      </c>
      <c r="Q262" s="185">
        <v>4</v>
      </c>
      <c r="R262" s="183">
        <v>1</v>
      </c>
      <c r="S262" s="205">
        <v>3</v>
      </c>
      <c r="T262" s="188">
        <v>4</v>
      </c>
      <c r="U262" s="183">
        <v>0</v>
      </c>
      <c r="V262" s="186">
        <v>4</v>
      </c>
    </row>
    <row r="263" spans="2:22" x14ac:dyDescent="0.25">
      <c r="B263" s="810"/>
      <c r="C263" s="810"/>
      <c r="D263" s="183">
        <v>29</v>
      </c>
      <c r="E263" s="188">
        <v>1</v>
      </c>
      <c r="F263" s="183">
        <v>0</v>
      </c>
      <c r="G263" s="205">
        <v>1</v>
      </c>
      <c r="H263" s="188">
        <v>1</v>
      </c>
      <c r="I263" s="183">
        <v>0</v>
      </c>
      <c r="J263" s="186">
        <v>1</v>
      </c>
      <c r="K263" s="188">
        <v>6</v>
      </c>
      <c r="L263" s="183">
        <v>2</v>
      </c>
      <c r="M263" s="186">
        <v>4</v>
      </c>
      <c r="N263" s="188">
        <v>3</v>
      </c>
      <c r="O263" s="183">
        <v>0</v>
      </c>
      <c r="P263" s="186">
        <v>3</v>
      </c>
      <c r="Q263" s="185">
        <v>1</v>
      </c>
      <c r="R263" s="183">
        <v>1</v>
      </c>
      <c r="S263" s="205">
        <v>0</v>
      </c>
      <c r="T263" s="188">
        <v>1</v>
      </c>
      <c r="U263" s="183">
        <v>0</v>
      </c>
      <c r="V263" s="186">
        <v>1</v>
      </c>
    </row>
    <row r="264" spans="2:22" x14ac:dyDescent="0.25">
      <c r="B264" s="810"/>
      <c r="C264" s="810"/>
      <c r="D264" s="183" t="s">
        <v>71</v>
      </c>
      <c r="E264" s="188">
        <v>1</v>
      </c>
      <c r="F264" s="183">
        <v>1</v>
      </c>
      <c r="G264" s="205">
        <v>0</v>
      </c>
      <c r="H264" s="188">
        <v>2</v>
      </c>
      <c r="I264" s="183">
        <v>1</v>
      </c>
      <c r="J264" s="186">
        <v>1</v>
      </c>
      <c r="K264" s="188">
        <v>4</v>
      </c>
      <c r="L264" s="183">
        <v>1</v>
      </c>
      <c r="M264" s="186">
        <v>3</v>
      </c>
      <c r="N264" s="188">
        <v>7</v>
      </c>
      <c r="O264" s="183">
        <v>3</v>
      </c>
      <c r="P264" s="186">
        <v>4</v>
      </c>
      <c r="Q264" s="185">
        <v>5</v>
      </c>
      <c r="R264" s="183">
        <v>0</v>
      </c>
      <c r="S264" s="205">
        <v>5</v>
      </c>
      <c r="T264" s="188">
        <v>5</v>
      </c>
      <c r="U264" s="183">
        <v>1</v>
      </c>
      <c r="V264" s="186">
        <v>4</v>
      </c>
    </row>
    <row r="265" spans="2:22" x14ac:dyDescent="0.25">
      <c r="B265" s="810"/>
      <c r="C265" s="810"/>
      <c r="D265" s="183" t="s">
        <v>72</v>
      </c>
      <c r="E265" s="188">
        <v>5</v>
      </c>
      <c r="F265" s="183">
        <v>3</v>
      </c>
      <c r="G265" s="205">
        <v>2</v>
      </c>
      <c r="H265" s="188">
        <v>2</v>
      </c>
      <c r="I265" s="183">
        <v>2</v>
      </c>
      <c r="J265" s="186">
        <v>0</v>
      </c>
      <c r="K265" s="188">
        <v>0</v>
      </c>
      <c r="L265" s="183">
        <v>0</v>
      </c>
      <c r="M265" s="186">
        <v>0</v>
      </c>
      <c r="N265" s="188">
        <v>2</v>
      </c>
      <c r="O265" s="183">
        <v>1</v>
      </c>
      <c r="P265" s="186">
        <v>1</v>
      </c>
      <c r="Q265" s="185">
        <v>2</v>
      </c>
      <c r="R265" s="183">
        <v>1</v>
      </c>
      <c r="S265" s="205">
        <v>1</v>
      </c>
      <c r="T265" s="188">
        <v>2</v>
      </c>
      <c r="U265" s="183">
        <v>1</v>
      </c>
      <c r="V265" s="186">
        <v>1</v>
      </c>
    </row>
    <row r="266" spans="2:22" x14ac:dyDescent="0.25">
      <c r="B266" s="810"/>
      <c r="C266" s="810"/>
      <c r="D266" s="193" t="s">
        <v>73</v>
      </c>
      <c r="E266" s="195">
        <v>3</v>
      </c>
      <c r="F266" s="193">
        <v>2</v>
      </c>
      <c r="G266" s="409">
        <v>1</v>
      </c>
      <c r="H266" s="195">
        <v>2</v>
      </c>
      <c r="I266" s="193">
        <v>2</v>
      </c>
      <c r="J266" s="196">
        <v>0</v>
      </c>
      <c r="K266" s="195">
        <v>2</v>
      </c>
      <c r="L266" s="193">
        <v>2</v>
      </c>
      <c r="M266" s="196">
        <v>0</v>
      </c>
      <c r="N266" s="195">
        <v>1</v>
      </c>
      <c r="O266" s="193">
        <v>1</v>
      </c>
      <c r="P266" s="196"/>
      <c r="Q266" s="197">
        <v>1</v>
      </c>
      <c r="R266" s="193">
        <v>1</v>
      </c>
      <c r="S266" s="409">
        <v>0</v>
      </c>
      <c r="T266" s="188">
        <v>1</v>
      </c>
      <c r="U266" s="193">
        <v>1</v>
      </c>
      <c r="V266" s="196"/>
    </row>
    <row r="267" spans="2:22" ht="15.75" thickBot="1" x14ac:dyDescent="0.3">
      <c r="B267" s="811"/>
      <c r="C267" s="811"/>
      <c r="D267" s="189" t="s">
        <v>69</v>
      </c>
      <c r="E267" s="190">
        <v>240</v>
      </c>
      <c r="F267" s="270">
        <v>104</v>
      </c>
      <c r="G267" s="408">
        <v>136</v>
      </c>
      <c r="H267" s="190">
        <v>240</v>
      </c>
      <c r="I267" s="270">
        <v>103</v>
      </c>
      <c r="J267" s="270">
        <v>137</v>
      </c>
      <c r="K267" s="190">
        <v>240</v>
      </c>
      <c r="L267" s="270">
        <v>104</v>
      </c>
      <c r="M267" s="270">
        <v>136</v>
      </c>
      <c r="N267" s="190">
        <v>236</v>
      </c>
      <c r="O267" s="270">
        <v>108</v>
      </c>
      <c r="P267" s="270">
        <v>128</v>
      </c>
      <c r="Q267" s="190">
        <v>235</v>
      </c>
      <c r="R267" s="270">
        <v>106</v>
      </c>
      <c r="S267" s="408">
        <v>129</v>
      </c>
      <c r="T267" s="190">
        <v>263</v>
      </c>
      <c r="U267" s="270">
        <v>121</v>
      </c>
      <c r="V267" s="408">
        <v>142</v>
      </c>
    </row>
    <row r="268" spans="2:22" x14ac:dyDescent="0.25"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U268" s="14"/>
      <c r="V268" s="14"/>
    </row>
    <row r="269" spans="2:22" x14ac:dyDescent="0.25">
      <c r="B269" s="777" t="s">
        <v>2</v>
      </c>
      <c r="C269" s="777"/>
      <c r="D269" s="777" t="s">
        <v>68</v>
      </c>
      <c r="E269" s="828" t="s">
        <v>885</v>
      </c>
      <c r="F269" s="828"/>
      <c r="G269" s="828"/>
      <c r="H269" s="828"/>
      <c r="I269" s="828"/>
      <c r="J269" s="828"/>
      <c r="K269" s="828"/>
      <c r="L269" s="828"/>
      <c r="M269" s="828"/>
      <c r="N269" s="828"/>
      <c r="O269" s="828"/>
      <c r="P269" s="828"/>
    </row>
    <row r="270" spans="2:22" x14ac:dyDescent="0.25">
      <c r="B270" s="778"/>
      <c r="C270" s="778"/>
      <c r="D270" s="778"/>
      <c r="E270" s="781" t="s">
        <v>892</v>
      </c>
      <c r="F270" s="781"/>
      <c r="G270" s="781"/>
      <c r="H270" s="781" t="s">
        <v>955</v>
      </c>
      <c r="I270" s="781"/>
      <c r="J270" s="781"/>
      <c r="K270" s="781" t="s">
        <v>1127</v>
      </c>
      <c r="L270" s="781"/>
      <c r="M270" s="781"/>
      <c r="N270" s="781" t="s">
        <v>1231</v>
      </c>
      <c r="O270" s="781"/>
      <c r="P270" s="781"/>
    </row>
    <row r="271" spans="2:22" ht="15.75" customHeight="1" x14ac:dyDescent="0.25">
      <c r="B271" s="809" t="s">
        <v>904</v>
      </c>
      <c r="C271" s="809"/>
      <c r="D271" s="183"/>
      <c r="E271" s="198" t="s">
        <v>77</v>
      </c>
      <c r="F271" s="198" t="s">
        <v>826</v>
      </c>
      <c r="G271" s="198" t="s">
        <v>827</v>
      </c>
      <c r="H271" s="198" t="s">
        <v>77</v>
      </c>
      <c r="I271" s="198" t="s">
        <v>826</v>
      </c>
      <c r="J271" s="198" t="s">
        <v>827</v>
      </c>
      <c r="K271" s="198" t="s">
        <v>77</v>
      </c>
      <c r="L271" s="198" t="s">
        <v>826</v>
      </c>
      <c r="M271" s="198" t="s">
        <v>827</v>
      </c>
      <c r="N271" s="198" t="s">
        <v>77</v>
      </c>
      <c r="O271" s="198" t="s">
        <v>826</v>
      </c>
      <c r="P271" s="198" t="s">
        <v>827</v>
      </c>
    </row>
    <row r="272" spans="2:22" ht="13.5" customHeight="1" x14ac:dyDescent="0.25">
      <c r="B272" s="810"/>
      <c r="C272" s="810"/>
      <c r="D272" s="183" t="s">
        <v>70</v>
      </c>
      <c r="E272" s="188">
        <v>1</v>
      </c>
      <c r="F272" s="184">
        <v>0</v>
      </c>
      <c r="G272" s="184">
        <v>1</v>
      </c>
      <c r="H272" s="187">
        <v>6</v>
      </c>
      <c r="I272" s="184">
        <v>1</v>
      </c>
      <c r="J272" s="184">
        <v>5</v>
      </c>
      <c r="K272" s="187">
        <v>5</v>
      </c>
      <c r="L272" s="184">
        <v>0</v>
      </c>
      <c r="M272" s="184">
        <v>5</v>
      </c>
      <c r="N272" s="185">
        <v>2</v>
      </c>
      <c r="O272" s="183">
        <v>2</v>
      </c>
      <c r="P272" s="183">
        <v>0</v>
      </c>
    </row>
    <row r="273" spans="2:16" x14ac:dyDescent="0.25">
      <c r="B273" s="810"/>
      <c r="C273" s="810"/>
      <c r="D273" s="183">
        <v>19</v>
      </c>
      <c r="E273" s="188">
        <v>3</v>
      </c>
      <c r="F273" s="184">
        <v>1</v>
      </c>
      <c r="G273" s="184">
        <v>2</v>
      </c>
      <c r="H273" s="187">
        <v>2</v>
      </c>
      <c r="I273" s="184">
        <v>0</v>
      </c>
      <c r="J273" s="184">
        <v>2</v>
      </c>
      <c r="K273" s="187">
        <v>7</v>
      </c>
      <c r="L273" s="184">
        <v>1</v>
      </c>
      <c r="M273" s="184">
        <v>6</v>
      </c>
      <c r="N273" s="185">
        <v>5</v>
      </c>
      <c r="O273" s="183">
        <v>1</v>
      </c>
      <c r="P273" s="184">
        <v>4</v>
      </c>
    </row>
    <row r="274" spans="2:16" x14ac:dyDescent="0.25">
      <c r="B274" s="810"/>
      <c r="C274" s="810"/>
      <c r="D274" s="183">
        <v>20</v>
      </c>
      <c r="E274" s="188">
        <v>1</v>
      </c>
      <c r="F274" s="184">
        <v>0</v>
      </c>
      <c r="G274" s="184">
        <v>1</v>
      </c>
      <c r="H274" s="187">
        <v>4</v>
      </c>
      <c r="I274" s="184">
        <v>1</v>
      </c>
      <c r="J274" s="184">
        <v>3</v>
      </c>
      <c r="K274" s="187">
        <v>1</v>
      </c>
      <c r="L274" s="184">
        <v>0</v>
      </c>
      <c r="M274" s="184">
        <v>1</v>
      </c>
      <c r="N274" s="185">
        <v>5</v>
      </c>
      <c r="O274" s="183">
        <v>2</v>
      </c>
      <c r="P274" s="184">
        <v>3</v>
      </c>
    </row>
    <row r="275" spans="2:16" x14ac:dyDescent="0.25">
      <c r="B275" s="810"/>
      <c r="C275" s="810"/>
      <c r="D275" s="183">
        <v>21</v>
      </c>
      <c r="E275" s="188">
        <v>1</v>
      </c>
      <c r="F275" s="184">
        <v>0</v>
      </c>
      <c r="G275" s="184">
        <v>1</v>
      </c>
      <c r="H275" s="187">
        <v>2</v>
      </c>
      <c r="I275" s="184">
        <v>0</v>
      </c>
      <c r="J275" s="184">
        <v>2</v>
      </c>
      <c r="K275" s="187">
        <v>2</v>
      </c>
      <c r="L275" s="184">
        <v>1</v>
      </c>
      <c r="M275" s="184">
        <v>1</v>
      </c>
      <c r="N275" s="185">
        <v>2</v>
      </c>
      <c r="O275" s="183">
        <v>1</v>
      </c>
      <c r="P275" s="184">
        <v>1</v>
      </c>
    </row>
    <row r="276" spans="2:16" x14ac:dyDescent="0.25">
      <c r="B276" s="810"/>
      <c r="C276" s="810"/>
      <c r="D276" s="183">
        <v>22</v>
      </c>
      <c r="E276" s="188">
        <v>0</v>
      </c>
      <c r="F276" s="184">
        <v>0</v>
      </c>
      <c r="G276" s="184">
        <v>0</v>
      </c>
      <c r="H276" s="187">
        <v>1</v>
      </c>
      <c r="I276" s="184">
        <v>0</v>
      </c>
      <c r="J276" s="184">
        <v>1</v>
      </c>
      <c r="K276" s="187">
        <v>2</v>
      </c>
      <c r="L276" s="184">
        <v>1</v>
      </c>
      <c r="M276" s="184">
        <v>1</v>
      </c>
      <c r="N276" s="185">
        <v>1</v>
      </c>
      <c r="O276" s="184">
        <v>0</v>
      </c>
      <c r="P276" s="184">
        <v>1</v>
      </c>
    </row>
    <row r="277" spans="2:16" x14ac:dyDescent="0.25">
      <c r="B277" s="810"/>
      <c r="C277" s="810"/>
      <c r="D277" s="183">
        <v>23</v>
      </c>
      <c r="E277" s="188">
        <v>2</v>
      </c>
      <c r="F277" s="184">
        <v>1</v>
      </c>
      <c r="G277" s="184">
        <v>1</v>
      </c>
      <c r="H277" s="187">
        <v>0</v>
      </c>
      <c r="I277" s="184">
        <v>0</v>
      </c>
      <c r="J277" s="184">
        <v>0</v>
      </c>
      <c r="K277" s="187">
        <v>1</v>
      </c>
      <c r="L277" s="184">
        <v>0</v>
      </c>
      <c r="M277" s="184">
        <v>1</v>
      </c>
      <c r="N277" s="185">
        <v>1</v>
      </c>
      <c r="O277" s="184">
        <v>0</v>
      </c>
      <c r="P277" s="184">
        <v>1</v>
      </c>
    </row>
    <row r="278" spans="2:16" x14ac:dyDescent="0.25">
      <c r="B278" s="810"/>
      <c r="C278" s="810"/>
      <c r="D278" s="183">
        <v>24</v>
      </c>
      <c r="E278" s="188">
        <v>0</v>
      </c>
      <c r="F278" s="184">
        <v>0</v>
      </c>
      <c r="G278" s="184">
        <v>0</v>
      </c>
      <c r="H278" s="187">
        <v>0</v>
      </c>
      <c r="I278" s="184">
        <v>0</v>
      </c>
      <c r="J278" s="184">
        <v>0</v>
      </c>
      <c r="K278" s="187">
        <v>1</v>
      </c>
      <c r="L278" s="184">
        <v>1</v>
      </c>
      <c r="M278" s="184">
        <v>0</v>
      </c>
      <c r="N278" s="185">
        <v>1</v>
      </c>
      <c r="O278" s="184">
        <v>0</v>
      </c>
      <c r="P278" s="184">
        <v>1</v>
      </c>
    </row>
    <row r="279" spans="2:16" x14ac:dyDescent="0.25">
      <c r="B279" s="810"/>
      <c r="C279" s="810"/>
      <c r="D279" s="183">
        <v>25</v>
      </c>
      <c r="E279" s="188">
        <v>0</v>
      </c>
      <c r="F279" s="184">
        <v>0</v>
      </c>
      <c r="G279" s="184">
        <v>0</v>
      </c>
      <c r="H279" s="187">
        <v>0</v>
      </c>
      <c r="I279" s="184">
        <v>0</v>
      </c>
      <c r="J279" s="184">
        <v>0</v>
      </c>
      <c r="K279" s="187">
        <v>1</v>
      </c>
      <c r="L279" s="184">
        <v>0</v>
      </c>
      <c r="M279" s="184">
        <v>1</v>
      </c>
      <c r="N279" s="185">
        <v>0</v>
      </c>
      <c r="O279" s="184">
        <v>0</v>
      </c>
      <c r="P279" s="184">
        <v>0</v>
      </c>
    </row>
    <row r="280" spans="2:16" x14ac:dyDescent="0.25">
      <c r="B280" s="810"/>
      <c r="C280" s="810"/>
      <c r="D280" s="183">
        <v>26</v>
      </c>
      <c r="E280" s="188">
        <v>0</v>
      </c>
      <c r="F280" s="184">
        <v>0</v>
      </c>
      <c r="G280" s="184">
        <v>0</v>
      </c>
      <c r="H280" s="187">
        <v>0</v>
      </c>
      <c r="I280" s="184">
        <v>0</v>
      </c>
      <c r="J280" s="184">
        <v>0</v>
      </c>
      <c r="K280" s="187">
        <v>1</v>
      </c>
      <c r="L280" s="184">
        <v>0</v>
      </c>
      <c r="M280" s="184">
        <v>1</v>
      </c>
      <c r="N280" s="185">
        <v>0</v>
      </c>
      <c r="O280" s="184">
        <v>0</v>
      </c>
      <c r="P280" s="184">
        <v>0</v>
      </c>
    </row>
    <row r="281" spans="2:16" x14ac:dyDescent="0.25">
      <c r="B281" s="810"/>
      <c r="C281" s="810"/>
      <c r="D281" s="183">
        <v>27</v>
      </c>
      <c r="E281" s="188">
        <v>0</v>
      </c>
      <c r="F281" s="184">
        <v>0</v>
      </c>
      <c r="G281" s="184">
        <v>0</v>
      </c>
      <c r="H281" s="187">
        <v>0</v>
      </c>
      <c r="I281" s="184">
        <v>0</v>
      </c>
      <c r="J281" s="184">
        <v>0</v>
      </c>
      <c r="K281" s="187">
        <v>0</v>
      </c>
      <c r="L281" s="184">
        <v>0</v>
      </c>
      <c r="M281" s="184">
        <v>0</v>
      </c>
      <c r="N281" s="185">
        <v>0</v>
      </c>
      <c r="O281" s="184">
        <v>0</v>
      </c>
      <c r="P281" s="184">
        <v>0</v>
      </c>
    </row>
    <row r="282" spans="2:16" x14ac:dyDescent="0.25">
      <c r="B282" s="810"/>
      <c r="C282" s="810"/>
      <c r="D282" s="183">
        <v>28</v>
      </c>
      <c r="E282" s="188">
        <v>0</v>
      </c>
      <c r="F282" s="184">
        <v>0</v>
      </c>
      <c r="G282" s="184">
        <v>0</v>
      </c>
      <c r="H282" s="187">
        <v>0</v>
      </c>
      <c r="I282" s="184">
        <v>0</v>
      </c>
      <c r="J282" s="184">
        <v>0</v>
      </c>
      <c r="K282" s="187">
        <v>0</v>
      </c>
      <c r="L282" s="184">
        <v>0</v>
      </c>
      <c r="M282" s="184">
        <v>0</v>
      </c>
      <c r="N282" s="185">
        <v>0</v>
      </c>
      <c r="O282" s="184">
        <v>0</v>
      </c>
      <c r="P282" s="184">
        <v>0</v>
      </c>
    </row>
    <row r="283" spans="2:16" x14ac:dyDescent="0.25">
      <c r="B283" s="810"/>
      <c r="C283" s="810"/>
      <c r="D283" s="183">
        <v>29</v>
      </c>
      <c r="E283" s="188">
        <v>0</v>
      </c>
      <c r="F283" s="184">
        <v>0</v>
      </c>
      <c r="G283" s="184">
        <v>0</v>
      </c>
      <c r="H283" s="187">
        <v>0</v>
      </c>
      <c r="I283" s="184">
        <v>0</v>
      </c>
      <c r="J283" s="184">
        <v>0</v>
      </c>
      <c r="K283" s="187">
        <v>0</v>
      </c>
      <c r="L283" s="184">
        <v>0</v>
      </c>
      <c r="M283" s="184">
        <v>0</v>
      </c>
      <c r="N283" s="185">
        <v>0</v>
      </c>
      <c r="O283" s="184">
        <v>0</v>
      </c>
      <c r="P283" s="184">
        <v>0</v>
      </c>
    </row>
    <row r="284" spans="2:16" x14ac:dyDescent="0.25">
      <c r="B284" s="810"/>
      <c r="C284" s="810"/>
      <c r="D284" s="183" t="s">
        <v>71</v>
      </c>
      <c r="E284" s="188">
        <v>0</v>
      </c>
      <c r="F284" s="184">
        <v>0</v>
      </c>
      <c r="G284" s="184">
        <v>0</v>
      </c>
      <c r="H284" s="187">
        <v>1</v>
      </c>
      <c r="I284" s="184">
        <v>0</v>
      </c>
      <c r="J284" s="184">
        <v>1</v>
      </c>
      <c r="K284" s="187">
        <v>0</v>
      </c>
      <c r="L284" s="184">
        <v>0</v>
      </c>
      <c r="M284" s="184">
        <v>0</v>
      </c>
      <c r="N284" s="185">
        <v>0</v>
      </c>
      <c r="O284" s="184">
        <v>0</v>
      </c>
      <c r="P284" s="184">
        <v>0</v>
      </c>
    </row>
    <row r="285" spans="2:16" x14ac:dyDescent="0.25">
      <c r="B285" s="810"/>
      <c r="C285" s="810"/>
      <c r="D285" s="183" t="s">
        <v>72</v>
      </c>
      <c r="E285" s="188">
        <v>0</v>
      </c>
      <c r="F285" s="184">
        <v>0</v>
      </c>
      <c r="G285" s="184">
        <v>0</v>
      </c>
      <c r="H285" s="187">
        <v>0</v>
      </c>
      <c r="I285" s="184">
        <v>0</v>
      </c>
      <c r="J285" s="184">
        <v>0</v>
      </c>
      <c r="K285" s="187">
        <v>0</v>
      </c>
      <c r="L285" s="184">
        <v>0</v>
      </c>
      <c r="M285" s="184">
        <v>0</v>
      </c>
      <c r="N285" s="185">
        <v>0</v>
      </c>
      <c r="O285" s="184">
        <v>0</v>
      </c>
      <c r="P285" s="184">
        <v>0</v>
      </c>
    </row>
    <row r="286" spans="2:16" x14ac:dyDescent="0.25">
      <c r="B286" s="810"/>
      <c r="C286" s="810"/>
      <c r="D286" s="193" t="s">
        <v>73</v>
      </c>
      <c r="E286" s="195">
        <v>0</v>
      </c>
      <c r="F286" s="194">
        <v>0</v>
      </c>
      <c r="G286" s="194">
        <v>0</v>
      </c>
      <c r="H286" s="446">
        <v>0</v>
      </c>
      <c r="I286" s="184">
        <v>0</v>
      </c>
      <c r="J286" s="184">
        <v>0</v>
      </c>
      <c r="K286" s="446">
        <v>0</v>
      </c>
      <c r="L286" s="184">
        <v>0</v>
      </c>
      <c r="M286" s="184">
        <v>0</v>
      </c>
      <c r="N286" s="185">
        <v>0</v>
      </c>
      <c r="O286" s="184">
        <v>0</v>
      </c>
      <c r="P286" s="184">
        <v>0</v>
      </c>
    </row>
    <row r="287" spans="2:16" ht="15.75" thickBot="1" x14ac:dyDescent="0.3">
      <c r="B287" s="811"/>
      <c r="C287" s="811"/>
      <c r="D287" s="189" t="s">
        <v>69</v>
      </c>
      <c r="E287" s="190">
        <v>8</v>
      </c>
      <c r="F287" s="191">
        <v>2</v>
      </c>
      <c r="G287" s="192">
        <v>6</v>
      </c>
      <c r="H287" s="190">
        <v>16</v>
      </c>
      <c r="I287" s="191">
        <v>2</v>
      </c>
      <c r="J287" s="192">
        <v>14</v>
      </c>
      <c r="K287" s="190">
        <v>21</v>
      </c>
      <c r="L287" s="191">
        <v>4</v>
      </c>
      <c r="M287" s="192">
        <v>17</v>
      </c>
      <c r="N287" s="190">
        <v>17</v>
      </c>
      <c r="O287" s="270">
        <v>6</v>
      </c>
      <c r="P287" s="270">
        <v>11</v>
      </c>
    </row>
    <row r="288" spans="2:16" x14ac:dyDescent="0.25">
      <c r="B288" s="3" t="s">
        <v>1922</v>
      </c>
      <c r="F288" s="14"/>
      <c r="G288" s="14"/>
      <c r="I288" s="14"/>
      <c r="J288" s="14"/>
      <c r="L288" s="14"/>
      <c r="M288" s="14"/>
      <c r="O288" s="14"/>
      <c r="P288" s="14"/>
    </row>
    <row r="289" spans="2:11" x14ac:dyDescent="0.25">
      <c r="B289" s="3" t="s">
        <v>42</v>
      </c>
    </row>
    <row r="290" spans="2:11" x14ac:dyDescent="0.25">
      <c r="B290" s="7"/>
    </row>
    <row r="292" spans="2:11" x14ac:dyDescent="0.25">
      <c r="B292" s="832" t="s">
        <v>792</v>
      </c>
      <c r="C292" s="832"/>
      <c r="D292" s="832"/>
      <c r="E292" s="832"/>
      <c r="F292" s="832"/>
      <c r="G292" s="832"/>
      <c r="H292" s="832"/>
      <c r="I292" s="832"/>
      <c r="J292" s="832"/>
      <c r="K292" s="832"/>
    </row>
    <row r="293" spans="2:11" x14ac:dyDescent="0.25">
      <c r="B293" s="771" t="s">
        <v>74</v>
      </c>
      <c r="C293" s="771"/>
      <c r="D293" s="771"/>
      <c r="E293" s="771"/>
      <c r="F293" s="163" t="s">
        <v>5</v>
      </c>
      <c r="G293" s="163" t="s">
        <v>6</v>
      </c>
      <c r="H293" s="163" t="s">
        <v>888</v>
      </c>
      <c r="I293" s="163" t="s">
        <v>953</v>
      </c>
      <c r="J293" s="163" t="s">
        <v>1125</v>
      </c>
      <c r="K293" s="163" t="s">
        <v>1229</v>
      </c>
    </row>
    <row r="294" spans="2:11" ht="13.5" customHeight="1" thickBot="1" x14ac:dyDescent="0.3">
      <c r="B294" s="797" t="s">
        <v>7</v>
      </c>
      <c r="C294" s="797"/>
      <c r="D294" s="821" t="s">
        <v>75</v>
      </c>
      <c r="E294" s="821"/>
      <c r="F294" s="25">
        <v>95</v>
      </c>
      <c r="G294" s="25">
        <v>104</v>
      </c>
      <c r="H294" s="25">
        <v>133</v>
      </c>
      <c r="I294" s="25">
        <v>143</v>
      </c>
      <c r="J294" s="25">
        <v>152</v>
      </c>
      <c r="K294" s="25">
        <v>149</v>
      </c>
    </row>
    <row r="295" spans="2:11" ht="15.75" thickBot="1" x14ac:dyDescent="0.3">
      <c r="B295" s="797"/>
      <c r="C295" s="797"/>
      <c r="D295" s="820" t="s">
        <v>76</v>
      </c>
      <c r="E295" s="820"/>
      <c r="F295" s="25">
        <v>4</v>
      </c>
      <c r="G295" s="25">
        <v>4</v>
      </c>
      <c r="H295" s="25">
        <v>3</v>
      </c>
      <c r="I295" s="25">
        <v>3</v>
      </c>
      <c r="J295" s="25">
        <v>6</v>
      </c>
      <c r="K295" s="25">
        <v>6</v>
      </c>
    </row>
    <row r="296" spans="2:11" ht="15.75" thickBot="1" x14ac:dyDescent="0.3">
      <c r="B296" s="798"/>
      <c r="C296" s="798"/>
      <c r="D296" s="819" t="s">
        <v>77</v>
      </c>
      <c r="E296" s="819"/>
      <c r="F296" s="271">
        <f t="shared" ref="F296:K296" si="2">SUM(F294:F295)</f>
        <v>99</v>
      </c>
      <c r="G296" s="271">
        <f t="shared" si="2"/>
        <v>108</v>
      </c>
      <c r="H296" s="271">
        <f t="shared" si="2"/>
        <v>136</v>
      </c>
      <c r="I296" s="271">
        <f t="shared" si="2"/>
        <v>146</v>
      </c>
      <c r="J296" s="271">
        <f t="shared" si="2"/>
        <v>158</v>
      </c>
      <c r="K296" s="271">
        <f t="shared" si="2"/>
        <v>155</v>
      </c>
    </row>
    <row r="297" spans="2:11" x14ac:dyDescent="0.25">
      <c r="C297" s="13"/>
      <c r="D297" s="13"/>
      <c r="E297" s="13"/>
      <c r="F297" s="13"/>
    </row>
    <row r="298" spans="2:11" x14ac:dyDescent="0.25">
      <c r="B298" s="771" t="s">
        <v>74</v>
      </c>
      <c r="C298" s="771"/>
      <c r="D298" s="771"/>
      <c r="E298" s="771"/>
      <c r="F298" s="163" t="s">
        <v>5</v>
      </c>
      <c r="G298" s="163" t="s">
        <v>6</v>
      </c>
      <c r="H298" s="163" t="s">
        <v>888</v>
      </c>
      <c r="I298" s="163" t="s">
        <v>953</v>
      </c>
      <c r="J298" s="163" t="s">
        <v>1125</v>
      </c>
      <c r="K298" s="163" t="s">
        <v>1229</v>
      </c>
    </row>
    <row r="299" spans="2:11" ht="13.5" customHeight="1" thickBot="1" x14ac:dyDescent="0.3">
      <c r="B299" s="797" t="s">
        <v>8</v>
      </c>
      <c r="C299" s="797"/>
      <c r="D299" s="821" t="s">
        <v>75</v>
      </c>
      <c r="E299" s="821"/>
      <c r="F299" s="25">
        <v>221</v>
      </c>
      <c r="G299" s="25">
        <v>226</v>
      </c>
      <c r="H299" s="25">
        <v>238</v>
      </c>
      <c r="I299" s="25">
        <v>233</v>
      </c>
      <c r="J299" s="25">
        <v>234</v>
      </c>
      <c r="K299" s="25">
        <v>262</v>
      </c>
    </row>
    <row r="300" spans="2:11" ht="15.75" thickBot="1" x14ac:dyDescent="0.3">
      <c r="B300" s="797"/>
      <c r="C300" s="797"/>
      <c r="D300" s="820" t="s">
        <v>76</v>
      </c>
      <c r="E300" s="820"/>
      <c r="F300" s="25">
        <v>19</v>
      </c>
      <c r="G300" s="25">
        <v>14</v>
      </c>
      <c r="H300" s="25">
        <v>2</v>
      </c>
      <c r="I300" s="25">
        <v>3</v>
      </c>
      <c r="J300" s="25">
        <v>1</v>
      </c>
      <c r="K300" s="25">
        <v>1</v>
      </c>
    </row>
    <row r="301" spans="2:11" ht="15.75" thickBot="1" x14ac:dyDescent="0.3">
      <c r="B301" s="798"/>
      <c r="C301" s="798"/>
      <c r="D301" s="819" t="s">
        <v>77</v>
      </c>
      <c r="E301" s="819"/>
      <c r="F301" s="271">
        <v>240</v>
      </c>
      <c r="G301" s="271">
        <v>240</v>
      </c>
      <c r="H301" s="271">
        <f>SUM(H299:H300)</f>
        <v>240</v>
      </c>
      <c r="I301" s="271">
        <f>SUM(I299:I300)</f>
        <v>236</v>
      </c>
      <c r="J301" s="271">
        <f>SUM(J299:J300)</f>
        <v>235</v>
      </c>
      <c r="K301" s="271">
        <f>SUM(K299:K300)</f>
        <v>263</v>
      </c>
    </row>
    <row r="303" spans="2:11" x14ac:dyDescent="0.25">
      <c r="B303" s="771" t="s">
        <v>74</v>
      </c>
      <c r="C303" s="771"/>
      <c r="D303" s="771"/>
      <c r="E303" s="771"/>
      <c r="F303" s="163" t="s">
        <v>888</v>
      </c>
      <c r="G303" s="163" t="s">
        <v>953</v>
      </c>
      <c r="H303" s="163" t="s">
        <v>1125</v>
      </c>
      <c r="I303" s="163" t="s">
        <v>1229</v>
      </c>
    </row>
    <row r="304" spans="2:11" ht="13.5" customHeight="1" thickBot="1" x14ac:dyDescent="0.3">
      <c r="B304" s="797" t="s">
        <v>904</v>
      </c>
      <c r="C304" s="797"/>
      <c r="D304" s="821" t="s">
        <v>75</v>
      </c>
      <c r="E304" s="821"/>
      <c r="F304" s="25">
        <v>8</v>
      </c>
      <c r="G304" s="25">
        <v>16</v>
      </c>
      <c r="H304" s="25">
        <v>21</v>
      </c>
      <c r="I304" s="25">
        <v>17</v>
      </c>
    </row>
    <row r="305" spans="2:26" ht="15.75" thickBot="1" x14ac:dyDescent="0.3">
      <c r="B305" s="797"/>
      <c r="C305" s="797"/>
      <c r="D305" s="820" t="s">
        <v>76</v>
      </c>
      <c r="E305" s="820"/>
      <c r="F305" s="25">
        <v>0</v>
      </c>
      <c r="G305" s="25">
        <v>0</v>
      </c>
      <c r="H305" s="25">
        <v>0</v>
      </c>
      <c r="I305" s="25">
        <v>0</v>
      </c>
    </row>
    <row r="306" spans="2:26" ht="15.75" thickBot="1" x14ac:dyDescent="0.3">
      <c r="B306" s="798"/>
      <c r="C306" s="798"/>
      <c r="D306" s="819" t="s">
        <v>77</v>
      </c>
      <c r="E306" s="819"/>
      <c r="F306" s="271">
        <f>SUM(F304:F305)</f>
        <v>8</v>
      </c>
      <c r="G306" s="271">
        <f>SUM(G304:G305)</f>
        <v>16</v>
      </c>
      <c r="H306" s="271">
        <f>SUM(H304:H305)</f>
        <v>21</v>
      </c>
      <c r="I306" s="271">
        <f>SUM(I304:I305)</f>
        <v>17</v>
      </c>
    </row>
    <row r="307" spans="2:26" x14ac:dyDescent="0.25">
      <c r="B307" s="3" t="s">
        <v>1922</v>
      </c>
    </row>
    <row r="308" spans="2:26" ht="15.75" customHeight="1" x14ac:dyDescent="0.25">
      <c r="B308" s="3" t="s">
        <v>42</v>
      </c>
    </row>
    <row r="311" spans="2:26" x14ac:dyDescent="0.25">
      <c r="B311" s="832" t="s">
        <v>793</v>
      </c>
      <c r="C311" s="832"/>
      <c r="D311" s="832"/>
      <c r="E311" s="832"/>
      <c r="F311" s="832"/>
      <c r="G311" s="832"/>
      <c r="H311" s="832"/>
      <c r="I311" s="832"/>
      <c r="J311" s="832"/>
      <c r="K311" s="832"/>
      <c r="L311" s="832"/>
      <c r="M311" s="832"/>
      <c r="Q311" s="2"/>
      <c r="R311" s="2"/>
      <c r="S311" s="2"/>
      <c r="T311" s="2"/>
      <c r="U311" s="2"/>
      <c r="V311" s="2"/>
      <c r="W311" s="2"/>
      <c r="X311" s="5"/>
      <c r="Y311" s="5"/>
      <c r="Z311" s="5"/>
    </row>
    <row r="312" spans="2:26" ht="23.25" customHeight="1" x14ac:dyDescent="0.25">
      <c r="B312" s="777" t="s">
        <v>74</v>
      </c>
      <c r="C312" s="777"/>
      <c r="D312" s="777" t="s">
        <v>78</v>
      </c>
      <c r="E312" s="777"/>
      <c r="F312" s="777" t="s">
        <v>79</v>
      </c>
      <c r="G312" s="777"/>
      <c r="H312" s="777" t="s">
        <v>80</v>
      </c>
      <c r="I312" s="777"/>
      <c r="J312" s="777"/>
      <c r="K312" s="777"/>
      <c r="L312" s="777"/>
      <c r="M312" s="777"/>
    </row>
    <row r="313" spans="2:26" x14ac:dyDescent="0.25">
      <c r="B313" s="778"/>
      <c r="C313" s="778"/>
      <c r="D313" s="778"/>
      <c r="E313" s="778"/>
      <c r="F313" s="778"/>
      <c r="G313" s="778"/>
      <c r="H313" s="199" t="s">
        <v>5</v>
      </c>
      <c r="I313" s="199" t="s">
        <v>6</v>
      </c>
      <c r="J313" s="269" t="s">
        <v>888</v>
      </c>
      <c r="K313" s="269" t="s">
        <v>953</v>
      </c>
      <c r="L313" s="199" t="s">
        <v>1125</v>
      </c>
      <c r="M313" s="199" t="s">
        <v>1229</v>
      </c>
    </row>
    <row r="314" spans="2:26" ht="15.75" customHeight="1" thickBot="1" x14ac:dyDescent="0.3">
      <c r="B314" s="809" t="s">
        <v>7</v>
      </c>
      <c r="C314" s="822"/>
      <c r="D314" s="786" t="s">
        <v>81</v>
      </c>
      <c r="E314" s="787"/>
      <c r="F314" s="786" t="s">
        <v>82</v>
      </c>
      <c r="G314" s="787"/>
      <c r="H314" s="175" t="s">
        <v>51</v>
      </c>
      <c r="I314" s="175">
        <f>1/108</f>
        <v>9.2592592592592587E-3</v>
      </c>
      <c r="J314" s="392">
        <v>1.4705882352941176E-2</v>
      </c>
      <c r="K314" s="392">
        <v>1.3698630136986301E-2</v>
      </c>
      <c r="L314" s="392">
        <v>1.2658227848101266E-2</v>
      </c>
      <c r="M314" s="392">
        <v>2.5806451612903226E-2</v>
      </c>
      <c r="N314" s="658"/>
      <c r="O314" s="16"/>
      <c r="R314" s="13"/>
      <c r="S314" s="16"/>
    </row>
    <row r="315" spans="2:26" ht="15.75" thickBot="1" x14ac:dyDescent="0.3">
      <c r="B315" s="810"/>
      <c r="C315" s="823"/>
      <c r="D315" s="786" t="s">
        <v>81</v>
      </c>
      <c r="E315" s="787"/>
      <c r="F315" s="786" t="s">
        <v>83</v>
      </c>
      <c r="G315" s="787"/>
      <c r="H315" s="175">
        <v>1.01E-2</v>
      </c>
      <c r="I315" s="175">
        <f>1/108</f>
        <v>9.2592592592592587E-3</v>
      </c>
      <c r="J315" s="392">
        <v>7.3529411764705881E-3</v>
      </c>
      <c r="K315" s="392">
        <v>6.8493150684931503E-3</v>
      </c>
      <c r="L315" s="392">
        <v>6.3291139240506328E-3</v>
      </c>
      <c r="M315" s="392">
        <v>1.2903225806451613E-2</v>
      </c>
      <c r="N315" s="658"/>
      <c r="O315" s="16"/>
      <c r="R315" s="13"/>
      <c r="S315" s="16"/>
    </row>
    <row r="316" spans="2:26" ht="15.75" thickBot="1" x14ac:dyDescent="0.3">
      <c r="B316" s="810"/>
      <c r="C316" s="823"/>
      <c r="D316" s="786" t="s">
        <v>81</v>
      </c>
      <c r="E316" s="787"/>
      <c r="F316" s="788" t="s">
        <v>118</v>
      </c>
      <c r="G316" s="789"/>
      <c r="H316" s="175"/>
      <c r="I316" s="175"/>
      <c r="J316" s="392"/>
      <c r="K316" s="392"/>
      <c r="L316" s="392"/>
      <c r="M316" s="392">
        <v>6.4516129032258064E-3</v>
      </c>
      <c r="N316" s="658"/>
      <c r="O316" s="16"/>
      <c r="R316" s="13"/>
      <c r="S316" s="16"/>
    </row>
    <row r="317" spans="2:26" ht="15.75" thickBot="1" x14ac:dyDescent="0.3">
      <c r="B317" s="810"/>
      <c r="C317" s="823"/>
      <c r="D317" s="786" t="s">
        <v>81</v>
      </c>
      <c r="E317" s="787"/>
      <c r="F317" s="782" t="s">
        <v>84</v>
      </c>
      <c r="G317" s="783"/>
      <c r="H317" s="175" t="s">
        <v>51</v>
      </c>
      <c r="I317" s="175" t="s">
        <v>51</v>
      </c>
      <c r="J317" s="392">
        <v>1.4705882352941176E-2</v>
      </c>
      <c r="K317" s="392" t="s">
        <v>51</v>
      </c>
      <c r="L317" s="392">
        <v>6.3291139240506328E-3</v>
      </c>
      <c r="M317" s="392"/>
      <c r="N317" s="658"/>
      <c r="O317" s="16"/>
      <c r="R317" s="13"/>
      <c r="S317" s="16"/>
    </row>
    <row r="318" spans="2:26" ht="15.75" thickBot="1" x14ac:dyDescent="0.3">
      <c r="B318" s="810"/>
      <c r="C318" s="823"/>
      <c r="D318" s="786" t="s">
        <v>81</v>
      </c>
      <c r="E318" s="787"/>
      <c r="F318" s="786" t="s">
        <v>85</v>
      </c>
      <c r="G318" s="787"/>
      <c r="H318" s="175">
        <v>1.01E-2</v>
      </c>
      <c r="I318" s="175">
        <f>1/108</f>
        <v>9.2592592592592587E-3</v>
      </c>
      <c r="J318" s="392">
        <v>7.3529411764705881E-3</v>
      </c>
      <c r="K318" s="392">
        <v>1.3698630136986301E-2</v>
      </c>
      <c r="L318" s="392">
        <v>1.2658227848101266E-2</v>
      </c>
      <c r="M318" s="392">
        <v>1.2903225806451613E-2</v>
      </c>
      <c r="N318" s="658"/>
      <c r="O318" s="16"/>
      <c r="R318" s="13"/>
      <c r="S318" s="16"/>
    </row>
    <row r="319" spans="2:26" ht="15.75" thickBot="1" x14ac:dyDescent="0.3">
      <c r="B319" s="810"/>
      <c r="C319" s="823"/>
      <c r="D319" s="786" t="s">
        <v>81</v>
      </c>
      <c r="E319" s="787"/>
      <c r="F319" s="782" t="s">
        <v>86</v>
      </c>
      <c r="G319" s="783"/>
      <c r="H319" s="175" t="s">
        <v>51</v>
      </c>
      <c r="I319" s="175" t="s">
        <v>51</v>
      </c>
      <c r="J319" s="392">
        <v>7.3529411764705881E-3</v>
      </c>
      <c r="K319" s="392">
        <v>6.8493150684931503E-3</v>
      </c>
      <c r="L319" s="392">
        <v>6.3291139240506328E-3</v>
      </c>
      <c r="M319" s="392">
        <v>1.2903225806451613E-2</v>
      </c>
      <c r="N319" s="658"/>
      <c r="O319" s="16"/>
      <c r="R319" s="13"/>
      <c r="S319" s="16"/>
    </row>
    <row r="320" spans="2:26" ht="15.75" thickBot="1" x14ac:dyDescent="0.3">
      <c r="B320" s="810"/>
      <c r="C320" s="823"/>
      <c r="D320" s="786" t="s">
        <v>81</v>
      </c>
      <c r="E320" s="787"/>
      <c r="F320" s="782" t="s">
        <v>87</v>
      </c>
      <c r="G320" s="783"/>
      <c r="H320" s="175">
        <v>1.01E-2</v>
      </c>
      <c r="I320" s="175">
        <f>1/108</f>
        <v>9.2592592592592587E-3</v>
      </c>
      <c r="J320" s="392" t="s">
        <v>51</v>
      </c>
      <c r="K320" s="392" t="s">
        <v>51</v>
      </c>
      <c r="L320" s="392" t="s">
        <v>51</v>
      </c>
      <c r="M320" s="392"/>
      <c r="N320" s="658"/>
      <c r="O320" s="16"/>
      <c r="R320" s="13"/>
      <c r="S320" s="16"/>
    </row>
    <row r="321" spans="2:19" ht="15.75" thickBot="1" x14ac:dyDescent="0.3">
      <c r="B321" s="810"/>
      <c r="C321" s="823"/>
      <c r="D321" s="786" t="s">
        <v>81</v>
      </c>
      <c r="E321" s="787"/>
      <c r="F321" s="784" t="s">
        <v>965</v>
      </c>
      <c r="G321" s="785"/>
      <c r="H321" s="175" t="s">
        <v>51</v>
      </c>
      <c r="I321" s="175" t="s">
        <v>51</v>
      </c>
      <c r="J321" s="175" t="s">
        <v>51</v>
      </c>
      <c r="K321" s="175">
        <v>6.8493150684931503E-3</v>
      </c>
      <c r="L321" s="392" t="s">
        <v>51</v>
      </c>
      <c r="M321" s="392">
        <v>6.4516129032258064E-3</v>
      </c>
      <c r="N321" s="658"/>
      <c r="O321" s="16"/>
      <c r="R321" s="13"/>
      <c r="S321" s="16"/>
    </row>
    <row r="322" spans="2:19" ht="15.75" thickBot="1" x14ac:dyDescent="0.3">
      <c r="B322" s="810"/>
      <c r="C322" s="823"/>
      <c r="D322" s="786" t="s">
        <v>81</v>
      </c>
      <c r="E322" s="787"/>
      <c r="F322" s="786" t="s">
        <v>88</v>
      </c>
      <c r="G322" s="787"/>
      <c r="H322" s="175" t="s">
        <v>51</v>
      </c>
      <c r="I322" s="175" t="s">
        <v>51</v>
      </c>
      <c r="J322" s="392" t="s">
        <v>51</v>
      </c>
      <c r="K322" s="392" t="s">
        <v>51</v>
      </c>
      <c r="L322" s="392" t="s">
        <v>51</v>
      </c>
      <c r="M322" s="392"/>
      <c r="N322" s="658"/>
      <c r="O322" s="16"/>
      <c r="R322" s="13"/>
      <c r="S322" s="16"/>
    </row>
    <row r="323" spans="2:19" ht="15.75" thickBot="1" x14ac:dyDescent="0.3">
      <c r="B323" s="810"/>
      <c r="C323" s="823"/>
      <c r="D323" s="786" t="s">
        <v>81</v>
      </c>
      <c r="E323" s="787"/>
      <c r="F323" s="786" t="s">
        <v>89</v>
      </c>
      <c r="G323" s="787"/>
      <c r="H323" s="175" t="s">
        <v>51</v>
      </c>
      <c r="I323" s="175" t="s">
        <v>51</v>
      </c>
      <c r="J323" s="392" t="s">
        <v>51</v>
      </c>
      <c r="K323" s="392" t="s">
        <v>51</v>
      </c>
      <c r="L323" s="392">
        <v>1.2658227848101266E-2</v>
      </c>
      <c r="M323" s="392">
        <v>1.2903225806451613E-2</v>
      </c>
      <c r="N323" s="658"/>
      <c r="O323" s="16"/>
      <c r="R323" s="13"/>
      <c r="S323" s="16"/>
    </row>
    <row r="324" spans="2:19" ht="15.75" thickBot="1" x14ac:dyDescent="0.3">
      <c r="B324" s="810"/>
      <c r="C324" s="823"/>
      <c r="D324" s="786" t="s">
        <v>81</v>
      </c>
      <c r="E324" s="787"/>
      <c r="F324" s="782" t="s">
        <v>90</v>
      </c>
      <c r="G324" s="783"/>
      <c r="H324" s="175" t="s">
        <v>51</v>
      </c>
      <c r="I324" s="175" t="s">
        <v>51</v>
      </c>
      <c r="J324" s="392" t="s">
        <v>51</v>
      </c>
      <c r="K324" s="392" t="s">
        <v>51</v>
      </c>
      <c r="L324" s="392">
        <v>6.3291139240506328E-3</v>
      </c>
      <c r="M324" s="392"/>
      <c r="N324" s="658"/>
      <c r="O324" s="16"/>
      <c r="R324" s="13"/>
      <c r="S324" s="16"/>
    </row>
    <row r="325" spans="2:19" ht="15.75" thickBot="1" x14ac:dyDescent="0.3">
      <c r="B325" s="810"/>
      <c r="C325" s="823"/>
      <c r="D325" s="786" t="s">
        <v>91</v>
      </c>
      <c r="E325" s="787"/>
      <c r="F325" s="782" t="s">
        <v>92</v>
      </c>
      <c r="G325" s="783"/>
      <c r="H325" s="175">
        <v>2.0199999999999999E-2</v>
      </c>
      <c r="I325" s="175"/>
      <c r="J325" s="392">
        <v>2.2058823529411766E-2</v>
      </c>
      <c r="K325" s="392">
        <v>4.1095890410958902E-2</v>
      </c>
      <c r="L325" s="392">
        <v>1.8987341772151899E-2</v>
      </c>
      <c r="M325" s="392">
        <v>1.2903225806451613E-2</v>
      </c>
      <c r="N325" s="658"/>
      <c r="O325" s="16"/>
      <c r="R325" s="13"/>
      <c r="S325" s="16"/>
    </row>
    <row r="326" spans="2:19" ht="15.75" thickBot="1" x14ac:dyDescent="0.3">
      <c r="B326" s="810"/>
      <c r="C326" s="823"/>
      <c r="D326" s="786" t="s">
        <v>91</v>
      </c>
      <c r="E326" s="787"/>
      <c r="F326" s="782" t="s">
        <v>93</v>
      </c>
      <c r="G326" s="783"/>
      <c r="H326" s="175">
        <v>0.1414</v>
      </c>
      <c r="I326" s="175">
        <f>19/108</f>
        <v>0.17592592592592593</v>
      </c>
      <c r="J326" s="392">
        <v>0.16176470588235295</v>
      </c>
      <c r="K326" s="392">
        <v>0.18493150684931506</v>
      </c>
      <c r="L326" s="392">
        <v>0.19620253164556961</v>
      </c>
      <c r="M326" s="392">
        <v>0.13548387096774195</v>
      </c>
      <c r="N326" s="658"/>
      <c r="O326" s="16"/>
      <c r="R326" s="13"/>
      <c r="S326" s="16"/>
    </row>
    <row r="327" spans="2:19" ht="15.75" thickBot="1" x14ac:dyDescent="0.3">
      <c r="B327" s="810"/>
      <c r="C327" s="823"/>
      <c r="D327" s="786" t="s">
        <v>91</v>
      </c>
      <c r="E327" s="787"/>
      <c r="F327" s="782" t="s">
        <v>94</v>
      </c>
      <c r="G327" s="783"/>
      <c r="H327" s="175">
        <v>0.2727</v>
      </c>
      <c r="I327" s="175">
        <f>30/108</f>
        <v>0.27777777777777779</v>
      </c>
      <c r="J327" s="392">
        <v>0.22058823529411764</v>
      </c>
      <c r="K327" s="392">
        <v>0.20547945205479451</v>
      </c>
      <c r="L327" s="392">
        <v>0.24683544303797469</v>
      </c>
      <c r="M327" s="392">
        <v>0.27741935483870966</v>
      </c>
      <c r="N327" s="658"/>
      <c r="O327" s="16"/>
      <c r="R327" s="13"/>
      <c r="S327" s="16"/>
    </row>
    <row r="328" spans="2:19" ht="15.75" thickBot="1" x14ac:dyDescent="0.3">
      <c r="B328" s="810"/>
      <c r="C328" s="823"/>
      <c r="D328" s="786" t="s">
        <v>91</v>
      </c>
      <c r="E328" s="787"/>
      <c r="F328" s="782" t="s">
        <v>95</v>
      </c>
      <c r="G328" s="783"/>
      <c r="H328" s="175">
        <v>2.0199999999999999E-2</v>
      </c>
      <c r="I328" s="175">
        <f>2/108</f>
        <v>1.8518518518518517E-2</v>
      </c>
      <c r="J328" s="392">
        <v>7.3529411764705881E-3</v>
      </c>
      <c r="K328" s="392" t="s">
        <v>51</v>
      </c>
      <c r="L328" s="392" t="s">
        <v>51</v>
      </c>
      <c r="M328" s="392">
        <v>1.935483870967742E-2</v>
      </c>
      <c r="N328" s="658"/>
      <c r="O328" s="16"/>
      <c r="R328" s="13"/>
      <c r="S328" s="16"/>
    </row>
    <row r="329" spans="2:19" ht="15.75" thickBot="1" x14ac:dyDescent="0.3">
      <c r="B329" s="810"/>
      <c r="C329" s="823"/>
      <c r="D329" s="786" t="s">
        <v>91</v>
      </c>
      <c r="E329" s="787"/>
      <c r="F329" s="782" t="s">
        <v>96</v>
      </c>
      <c r="G329" s="783"/>
      <c r="H329" s="175">
        <v>0.31309999999999999</v>
      </c>
      <c r="I329" s="175">
        <f>26/108</f>
        <v>0.24074074074074073</v>
      </c>
      <c r="J329" s="392">
        <v>0.19852941176470587</v>
      </c>
      <c r="K329" s="392">
        <v>0.20547945205479451</v>
      </c>
      <c r="L329" s="392">
        <v>0.17721518987341772</v>
      </c>
      <c r="M329" s="392">
        <v>0.17419354838709677</v>
      </c>
      <c r="N329" s="658"/>
      <c r="O329" s="16"/>
      <c r="R329" s="13"/>
      <c r="S329" s="16"/>
    </row>
    <row r="330" spans="2:19" ht="15.75" thickBot="1" x14ac:dyDescent="0.3">
      <c r="B330" s="810"/>
      <c r="C330" s="823"/>
      <c r="D330" s="786" t="s">
        <v>91</v>
      </c>
      <c r="E330" s="787"/>
      <c r="F330" s="782" t="s">
        <v>97</v>
      </c>
      <c r="G330" s="783"/>
      <c r="H330" s="175" t="s">
        <v>51</v>
      </c>
      <c r="I330" s="175" t="s">
        <v>51</v>
      </c>
      <c r="J330" s="392" t="s">
        <v>51</v>
      </c>
      <c r="K330" s="392" t="s">
        <v>51</v>
      </c>
      <c r="L330" s="392">
        <v>6.3291139240506328E-3</v>
      </c>
      <c r="M330" s="392">
        <v>6.4516129032258064E-3</v>
      </c>
      <c r="N330" s="658"/>
      <c r="O330" s="16"/>
      <c r="R330" s="13"/>
      <c r="S330" s="16"/>
    </row>
    <row r="331" spans="2:19" ht="15.75" thickBot="1" x14ac:dyDescent="0.3">
      <c r="B331" s="810"/>
      <c r="C331" s="823"/>
      <c r="D331" s="786" t="s">
        <v>91</v>
      </c>
      <c r="E331" s="787"/>
      <c r="F331" s="782" t="s">
        <v>98</v>
      </c>
      <c r="G331" s="783"/>
      <c r="H331" s="175" t="s">
        <v>51</v>
      </c>
      <c r="I331" s="175" t="s">
        <v>51</v>
      </c>
      <c r="J331" s="392">
        <v>7.3529411764705881E-3</v>
      </c>
      <c r="K331" s="392">
        <v>6.8493150684931503E-3</v>
      </c>
      <c r="L331" s="392">
        <v>1.8987341772151899E-2</v>
      </c>
      <c r="M331" s="392">
        <v>1.2903225806451613E-2</v>
      </c>
      <c r="N331" s="658"/>
      <c r="O331" s="16"/>
      <c r="R331" s="13"/>
      <c r="S331" s="16"/>
    </row>
    <row r="332" spans="2:19" ht="15.75" thickBot="1" x14ac:dyDescent="0.3">
      <c r="B332" s="810"/>
      <c r="C332" s="823"/>
      <c r="D332" s="786" t="s">
        <v>91</v>
      </c>
      <c r="E332" s="787"/>
      <c r="F332" s="782" t="s">
        <v>99</v>
      </c>
      <c r="G332" s="783"/>
      <c r="H332" s="175">
        <v>8.0799999999999997E-2</v>
      </c>
      <c r="I332" s="175">
        <f>7/108</f>
        <v>6.4814814814814811E-2</v>
      </c>
      <c r="J332" s="392">
        <v>8.0882352941176475E-2</v>
      </c>
      <c r="K332" s="392">
        <v>8.9041095890410954E-2</v>
      </c>
      <c r="L332" s="392" t="s">
        <v>51</v>
      </c>
      <c r="M332" s="392">
        <v>0</v>
      </c>
      <c r="N332" s="658"/>
      <c r="O332" s="16"/>
      <c r="R332" s="13"/>
      <c r="S332" s="16"/>
    </row>
    <row r="333" spans="2:19" ht="15.75" thickBot="1" x14ac:dyDescent="0.3">
      <c r="B333" s="810"/>
      <c r="C333" s="823"/>
      <c r="D333" s="786" t="s">
        <v>91</v>
      </c>
      <c r="E333" s="787"/>
      <c r="F333" s="782" t="s">
        <v>99</v>
      </c>
      <c r="G333" s="783"/>
      <c r="H333" s="175" t="s">
        <v>51</v>
      </c>
      <c r="I333" s="175" t="s">
        <v>51</v>
      </c>
      <c r="J333" s="175" t="s">
        <v>51</v>
      </c>
      <c r="K333" s="175">
        <v>6.8493150684931503E-3</v>
      </c>
      <c r="L333" s="392">
        <v>7.5949367088607597E-2</v>
      </c>
      <c r="M333" s="392">
        <v>9.0322580645161285E-2</v>
      </c>
      <c r="N333" s="658"/>
      <c r="O333" s="16"/>
      <c r="R333" s="13"/>
      <c r="S333" s="16"/>
    </row>
    <row r="334" spans="2:19" ht="15.75" thickBot="1" x14ac:dyDescent="0.3">
      <c r="B334" s="810"/>
      <c r="C334" s="823"/>
      <c r="D334" s="786" t="s">
        <v>91</v>
      </c>
      <c r="E334" s="787"/>
      <c r="F334" s="782" t="s">
        <v>122</v>
      </c>
      <c r="G334" s="783"/>
      <c r="H334" s="175"/>
      <c r="I334" s="175"/>
      <c r="J334" s="175"/>
      <c r="K334" s="175"/>
      <c r="L334" s="392" t="s">
        <v>51</v>
      </c>
      <c r="M334" s="392"/>
      <c r="N334" s="658"/>
      <c r="O334" s="16"/>
      <c r="R334" s="13"/>
      <c r="S334" s="16"/>
    </row>
    <row r="335" spans="2:19" ht="15.75" thickBot="1" x14ac:dyDescent="0.3">
      <c r="B335" s="810"/>
      <c r="C335" s="823"/>
      <c r="D335" s="786" t="s">
        <v>100</v>
      </c>
      <c r="E335" s="787"/>
      <c r="F335" s="786" t="s">
        <v>101</v>
      </c>
      <c r="G335" s="787"/>
      <c r="H335" s="175" t="s">
        <v>51</v>
      </c>
      <c r="I335" s="175" t="s">
        <v>51</v>
      </c>
      <c r="J335" s="392" t="s">
        <v>51</v>
      </c>
      <c r="K335" s="392" t="s">
        <v>51</v>
      </c>
      <c r="L335" s="392">
        <v>6.3291139240506328E-3</v>
      </c>
      <c r="M335" s="392">
        <v>6.4516129032258064E-3</v>
      </c>
      <c r="N335" s="658"/>
      <c r="O335" s="16"/>
      <c r="R335" s="13"/>
      <c r="S335" s="16"/>
    </row>
    <row r="336" spans="2:19" ht="15.75" thickBot="1" x14ac:dyDescent="0.3">
      <c r="B336" s="810"/>
      <c r="C336" s="823"/>
      <c r="D336" s="786" t="s">
        <v>100</v>
      </c>
      <c r="E336" s="787"/>
      <c r="F336" s="788" t="s">
        <v>1494</v>
      </c>
      <c r="G336" s="789"/>
      <c r="H336" s="175"/>
      <c r="I336" s="175"/>
      <c r="J336" s="392"/>
      <c r="K336" s="392"/>
      <c r="L336" s="392"/>
      <c r="M336" s="392">
        <v>6.4516129032258064E-3</v>
      </c>
      <c r="N336" s="658"/>
      <c r="O336" s="16"/>
      <c r="R336" s="13"/>
      <c r="S336" s="16"/>
    </row>
    <row r="337" spans="2:19" ht="15.75" thickBot="1" x14ac:dyDescent="0.3">
      <c r="B337" s="810"/>
      <c r="C337" s="823"/>
      <c r="D337" s="786" t="s">
        <v>100</v>
      </c>
      <c r="E337" s="787"/>
      <c r="F337" s="786" t="s">
        <v>102</v>
      </c>
      <c r="G337" s="787"/>
      <c r="H337" s="175">
        <v>1.01E-2</v>
      </c>
      <c r="I337" s="175">
        <f>1/108</f>
        <v>9.2592592592592587E-3</v>
      </c>
      <c r="J337" s="392">
        <v>7.3529411764705881E-3</v>
      </c>
      <c r="K337" s="392" t="s">
        <v>51</v>
      </c>
      <c r="L337" s="392" t="s">
        <v>51</v>
      </c>
      <c r="M337" s="392"/>
      <c r="N337" s="658"/>
      <c r="O337" s="16"/>
      <c r="R337" s="13"/>
      <c r="S337" s="16"/>
    </row>
    <row r="338" spans="2:19" ht="15.75" thickBot="1" x14ac:dyDescent="0.3">
      <c r="B338" s="810"/>
      <c r="C338" s="823"/>
      <c r="D338" s="786" t="s">
        <v>100</v>
      </c>
      <c r="E338" s="787"/>
      <c r="F338" s="786" t="s">
        <v>103</v>
      </c>
      <c r="G338" s="787"/>
      <c r="H338" s="175">
        <v>1.01E-2</v>
      </c>
      <c r="I338" s="175">
        <f>1/108</f>
        <v>9.2592592592592587E-3</v>
      </c>
      <c r="J338" s="392" t="s">
        <v>51</v>
      </c>
      <c r="K338" s="392" t="s">
        <v>51</v>
      </c>
      <c r="L338" s="392" t="s">
        <v>51</v>
      </c>
      <c r="M338" s="392"/>
      <c r="N338" s="658"/>
      <c r="O338" s="16"/>
      <c r="R338" s="13"/>
      <c r="S338" s="16"/>
    </row>
    <row r="339" spans="2:19" ht="15.75" thickBot="1" x14ac:dyDescent="0.3">
      <c r="B339" s="810"/>
      <c r="C339" s="823"/>
      <c r="D339" s="786" t="s">
        <v>104</v>
      </c>
      <c r="E339" s="787"/>
      <c r="F339" s="788" t="s">
        <v>968</v>
      </c>
      <c r="G339" s="789"/>
      <c r="H339" s="175" t="s">
        <v>51</v>
      </c>
      <c r="I339" s="175" t="s">
        <v>51</v>
      </c>
      <c r="J339" s="175" t="s">
        <v>51</v>
      </c>
      <c r="K339" s="175">
        <v>1.3698630136986301E-2</v>
      </c>
      <c r="L339" s="392">
        <v>6.3291139240506328E-3</v>
      </c>
      <c r="M339" s="392"/>
      <c r="N339" s="658"/>
      <c r="O339" s="16"/>
      <c r="R339" s="13"/>
      <c r="S339" s="16"/>
    </row>
    <row r="340" spans="2:19" ht="15.75" thickBot="1" x14ac:dyDescent="0.3">
      <c r="B340" s="810"/>
      <c r="C340" s="823"/>
      <c r="D340" s="786" t="s">
        <v>104</v>
      </c>
      <c r="E340" s="787"/>
      <c r="F340" s="786" t="s">
        <v>105</v>
      </c>
      <c r="G340" s="787"/>
      <c r="H340" s="175">
        <v>1.01E-2</v>
      </c>
      <c r="I340" s="175">
        <f>4/108</f>
        <v>3.7037037037037035E-2</v>
      </c>
      <c r="J340" s="392">
        <v>6.6176470588235295E-2</v>
      </c>
      <c r="K340" s="392">
        <v>3.4246575342465752E-2</v>
      </c>
      <c r="L340" s="392">
        <v>4.4303797468354431E-2</v>
      </c>
      <c r="M340" s="392">
        <v>1.935483870967742E-2</v>
      </c>
      <c r="N340" s="658"/>
      <c r="O340" s="16"/>
      <c r="R340" s="13"/>
      <c r="S340" s="16"/>
    </row>
    <row r="341" spans="2:19" ht="15.75" thickBot="1" x14ac:dyDescent="0.3">
      <c r="B341" s="810"/>
      <c r="C341" s="823"/>
      <c r="D341" s="786" t="s">
        <v>104</v>
      </c>
      <c r="E341" s="787"/>
      <c r="F341" s="786" t="s">
        <v>106</v>
      </c>
      <c r="G341" s="787"/>
      <c r="H341" s="175" t="s">
        <v>51</v>
      </c>
      <c r="I341" s="175">
        <f>1/108</f>
        <v>9.2592592592592587E-3</v>
      </c>
      <c r="J341" s="392">
        <v>7.3529411764705881E-3</v>
      </c>
      <c r="K341" s="392" t="s">
        <v>51</v>
      </c>
      <c r="L341" s="392">
        <v>6.3291139240506328E-3</v>
      </c>
      <c r="M341" s="392">
        <v>6.4516129032258064E-3</v>
      </c>
      <c r="N341" s="658"/>
      <c r="O341" s="16"/>
      <c r="R341" s="13"/>
      <c r="S341" s="16"/>
    </row>
    <row r="342" spans="2:19" ht="15.75" thickBot="1" x14ac:dyDescent="0.3">
      <c r="B342" s="810"/>
      <c r="C342" s="823"/>
      <c r="D342" s="786" t="s">
        <v>104</v>
      </c>
      <c r="E342" s="787"/>
      <c r="F342" s="788" t="s">
        <v>124</v>
      </c>
      <c r="G342" s="789"/>
      <c r="H342" s="175" t="s">
        <v>51</v>
      </c>
      <c r="I342" s="175" t="s">
        <v>51</v>
      </c>
      <c r="J342" s="392"/>
      <c r="K342" s="392">
        <v>6.8493150684931503E-3</v>
      </c>
      <c r="L342" s="392" t="s">
        <v>51</v>
      </c>
      <c r="M342" s="392">
        <v>0</v>
      </c>
      <c r="N342" s="658"/>
      <c r="O342" s="16"/>
      <c r="R342" s="13"/>
      <c r="S342" s="16"/>
    </row>
    <row r="343" spans="2:19" ht="15.75" thickBot="1" x14ac:dyDescent="0.3">
      <c r="B343" s="810"/>
      <c r="C343" s="823"/>
      <c r="D343" s="786" t="s">
        <v>104</v>
      </c>
      <c r="E343" s="787"/>
      <c r="F343" s="788" t="s">
        <v>941</v>
      </c>
      <c r="G343" s="789"/>
      <c r="H343" s="175" t="s">
        <v>51</v>
      </c>
      <c r="I343" s="175" t="s">
        <v>51</v>
      </c>
      <c r="J343" s="392">
        <v>7.3529411764705881E-3</v>
      </c>
      <c r="K343" s="392">
        <v>1.3698630136986301E-2</v>
      </c>
      <c r="L343" s="392">
        <v>6.3291139240506328E-3</v>
      </c>
      <c r="M343" s="392"/>
      <c r="N343" s="658"/>
      <c r="O343" s="16"/>
      <c r="R343" s="13"/>
      <c r="S343" s="16"/>
    </row>
    <row r="344" spans="2:19" ht="15.75" thickBot="1" x14ac:dyDescent="0.3">
      <c r="B344" s="810"/>
      <c r="C344" s="823"/>
      <c r="D344" s="786" t="s">
        <v>107</v>
      </c>
      <c r="E344" s="787"/>
      <c r="F344" s="782" t="s">
        <v>108</v>
      </c>
      <c r="G344" s="783"/>
      <c r="H344" s="175" t="s">
        <v>51</v>
      </c>
      <c r="I344" s="175">
        <f>2/108</f>
        <v>1.8518518518518517E-2</v>
      </c>
      <c r="J344" s="392">
        <v>2.2058823529411766E-2</v>
      </c>
      <c r="K344" s="392">
        <v>2.0547945205479451E-2</v>
      </c>
      <c r="L344" s="392">
        <v>3.1645569620253167E-2</v>
      </c>
      <c r="M344" s="392">
        <v>6.4516129032258063E-2</v>
      </c>
      <c r="N344" s="658"/>
      <c r="O344" s="16"/>
      <c r="R344" s="13"/>
      <c r="S344" s="16"/>
    </row>
    <row r="345" spans="2:19" ht="15.75" thickBot="1" x14ac:dyDescent="0.3">
      <c r="B345" s="810"/>
      <c r="C345" s="823"/>
      <c r="D345" s="786" t="s">
        <v>107</v>
      </c>
      <c r="E345" s="787"/>
      <c r="F345" s="782" t="s">
        <v>109</v>
      </c>
      <c r="G345" s="783"/>
      <c r="H345" s="175">
        <v>3.0300000000000001E-2</v>
      </c>
      <c r="I345" s="175" t="s">
        <v>51</v>
      </c>
      <c r="J345" s="392">
        <v>1.4705882352941176E-2</v>
      </c>
      <c r="K345" s="392">
        <v>1.3698630136986301E-2</v>
      </c>
      <c r="L345" s="392">
        <v>6.3291139240506328E-3</v>
      </c>
      <c r="M345" s="392">
        <v>6.4516129032258064E-3</v>
      </c>
      <c r="N345" s="658"/>
      <c r="O345" s="16"/>
      <c r="R345" s="13"/>
      <c r="S345" s="16"/>
    </row>
    <row r="346" spans="2:19" ht="15.75" thickBot="1" x14ac:dyDescent="0.3">
      <c r="B346" s="810"/>
      <c r="C346" s="823"/>
      <c r="D346" s="786" t="s">
        <v>107</v>
      </c>
      <c r="E346" s="787"/>
      <c r="F346" s="782" t="s">
        <v>942</v>
      </c>
      <c r="G346" s="783"/>
      <c r="H346" s="175"/>
      <c r="I346" s="175"/>
      <c r="J346" s="392">
        <v>7.3529411764705881E-3</v>
      </c>
      <c r="K346" s="392">
        <v>1.3698630136986301E-2</v>
      </c>
      <c r="L346" s="392" t="s">
        <v>51</v>
      </c>
      <c r="M346" s="392"/>
      <c r="N346" s="658"/>
      <c r="O346" s="16"/>
      <c r="R346" s="13"/>
      <c r="S346" s="16"/>
    </row>
    <row r="347" spans="2:19" ht="12.75" customHeight="1" thickBot="1" x14ac:dyDescent="0.3">
      <c r="B347" s="810"/>
      <c r="C347" s="823"/>
      <c r="D347" s="786" t="s">
        <v>107</v>
      </c>
      <c r="E347" s="787"/>
      <c r="F347" s="784" t="s">
        <v>943</v>
      </c>
      <c r="G347" s="785"/>
      <c r="H347" s="175"/>
      <c r="I347" s="175"/>
      <c r="J347" s="392">
        <v>7.3529411764705881E-3</v>
      </c>
      <c r="K347" s="392" t="s">
        <v>51</v>
      </c>
      <c r="L347" s="392" t="s">
        <v>51</v>
      </c>
      <c r="M347" s="392"/>
      <c r="N347" s="658"/>
      <c r="O347" s="16"/>
      <c r="R347" s="13"/>
      <c r="S347" s="16"/>
    </row>
    <row r="348" spans="2:19" ht="15.75" thickBot="1" x14ac:dyDescent="0.3">
      <c r="B348" s="810"/>
      <c r="C348" s="823"/>
      <c r="D348" s="786" t="s">
        <v>110</v>
      </c>
      <c r="E348" s="787"/>
      <c r="F348" s="786" t="s">
        <v>51</v>
      </c>
      <c r="G348" s="787"/>
      <c r="H348" s="175" t="s">
        <v>51</v>
      </c>
      <c r="I348" s="175" t="s">
        <v>51</v>
      </c>
      <c r="J348" s="392" t="s">
        <v>51</v>
      </c>
      <c r="K348" s="392" t="s">
        <v>51</v>
      </c>
      <c r="L348" s="392" t="s">
        <v>51</v>
      </c>
      <c r="M348" s="392"/>
      <c r="N348" s="658"/>
      <c r="O348" s="16"/>
      <c r="R348" s="13"/>
      <c r="S348" s="16"/>
    </row>
    <row r="349" spans="2:19" ht="15.75" thickBot="1" x14ac:dyDescent="0.3">
      <c r="B349" s="810"/>
      <c r="C349" s="823"/>
      <c r="D349" s="786" t="s">
        <v>111</v>
      </c>
      <c r="E349" s="787"/>
      <c r="F349" s="786" t="s">
        <v>1137</v>
      </c>
      <c r="G349" s="787"/>
      <c r="H349" s="175"/>
      <c r="I349" s="175"/>
      <c r="J349" s="392"/>
      <c r="K349" s="392"/>
      <c r="L349" s="392">
        <v>6.3291139240506328E-3</v>
      </c>
      <c r="M349" s="392">
        <v>6.4516129032258064E-3</v>
      </c>
      <c r="N349" s="658"/>
      <c r="O349" s="16"/>
      <c r="R349" s="13"/>
      <c r="S349" s="16"/>
    </row>
    <row r="350" spans="2:19" ht="15" customHeight="1" thickBot="1" x14ac:dyDescent="0.3">
      <c r="B350" s="810"/>
      <c r="C350" s="823"/>
      <c r="D350" s="786" t="s">
        <v>111</v>
      </c>
      <c r="E350" s="787"/>
      <c r="F350" s="786" t="s">
        <v>112</v>
      </c>
      <c r="G350" s="787"/>
      <c r="H350" s="175">
        <v>1.01E-2</v>
      </c>
      <c r="I350" s="175">
        <f>1/108</f>
        <v>9.2592592592592587E-3</v>
      </c>
      <c r="J350" s="392">
        <v>7.3529411764705881E-3</v>
      </c>
      <c r="K350" s="392">
        <v>6.8493150684931503E-3</v>
      </c>
      <c r="L350" s="392" t="s">
        <v>51</v>
      </c>
      <c r="M350" s="392"/>
      <c r="N350" s="658"/>
      <c r="O350" s="16"/>
      <c r="R350" s="13"/>
      <c r="S350" s="16"/>
    </row>
    <row r="351" spans="2:19" ht="15.75" thickBot="1" x14ac:dyDescent="0.3">
      <c r="B351" s="810"/>
      <c r="C351" s="823"/>
      <c r="D351" s="786" t="s">
        <v>113</v>
      </c>
      <c r="E351" s="787"/>
      <c r="F351" s="786" t="s">
        <v>51</v>
      </c>
      <c r="G351" s="787"/>
      <c r="H351" s="175">
        <v>1.01E-2</v>
      </c>
      <c r="I351" s="175">
        <f>1/108</f>
        <v>9.2592592592592587E-3</v>
      </c>
      <c r="J351" s="392">
        <v>7.3529411764705881E-3</v>
      </c>
      <c r="K351" s="392" t="s">
        <v>51</v>
      </c>
      <c r="L351" s="392" t="s">
        <v>51</v>
      </c>
      <c r="M351" s="392">
        <v>6.4516129032258064E-3</v>
      </c>
      <c r="N351" s="658"/>
      <c r="O351" s="16"/>
      <c r="R351" s="13"/>
      <c r="S351" s="16"/>
    </row>
    <row r="352" spans="2:19" ht="15.75" thickBot="1" x14ac:dyDescent="0.3">
      <c r="B352" s="810"/>
      <c r="C352" s="823"/>
      <c r="D352" s="786" t="s">
        <v>114</v>
      </c>
      <c r="E352" s="787"/>
      <c r="F352" s="786" t="s">
        <v>51</v>
      </c>
      <c r="G352" s="787"/>
      <c r="H352" s="175" t="s">
        <v>51</v>
      </c>
      <c r="I352" s="175" t="s">
        <v>51</v>
      </c>
      <c r="J352" s="392" t="s">
        <v>51</v>
      </c>
      <c r="K352" s="392" t="s">
        <v>51</v>
      </c>
      <c r="L352" s="392" t="s">
        <v>51</v>
      </c>
      <c r="M352" s="392"/>
      <c r="N352" s="658"/>
      <c r="O352" s="16"/>
      <c r="R352" s="13"/>
      <c r="S352" s="16"/>
    </row>
    <row r="353" spans="2:27" ht="23.25" customHeight="1" thickBot="1" x14ac:dyDescent="0.3">
      <c r="B353" s="810"/>
      <c r="C353" s="823"/>
      <c r="D353" s="786" t="s">
        <v>115</v>
      </c>
      <c r="E353" s="787"/>
      <c r="F353" s="786" t="s">
        <v>51</v>
      </c>
      <c r="G353" s="787"/>
      <c r="H353" s="175">
        <v>1.01E-2</v>
      </c>
      <c r="I353" s="175">
        <f>2/108</f>
        <v>1.8518518518518517E-2</v>
      </c>
      <c r="J353" s="392">
        <v>2.9411764705882353E-2</v>
      </c>
      <c r="K353" s="392">
        <v>4.7945205479452052E-2</v>
      </c>
      <c r="L353" s="392">
        <v>2.5316455696202531E-2</v>
      </c>
      <c r="M353" s="392">
        <v>2.5806451612903226E-2</v>
      </c>
      <c r="N353" s="658"/>
      <c r="O353" s="16"/>
      <c r="R353" s="13"/>
      <c r="S353" s="16"/>
      <c r="X353" s="2"/>
      <c r="Y353" s="2"/>
      <c r="Z353" s="2"/>
      <c r="AA353" s="2"/>
    </row>
    <row r="354" spans="2:27" ht="15.75" thickBot="1" x14ac:dyDescent="0.3">
      <c r="B354" s="810"/>
      <c r="C354" s="823"/>
      <c r="D354" s="788" t="s">
        <v>944</v>
      </c>
      <c r="E354" s="789"/>
      <c r="F354" s="786" t="s">
        <v>51</v>
      </c>
      <c r="G354" s="787"/>
      <c r="H354" s="175" t="s">
        <v>51</v>
      </c>
      <c r="I354" s="175" t="s">
        <v>51</v>
      </c>
      <c r="J354" s="392">
        <v>7.3529411764705881E-3</v>
      </c>
      <c r="K354" s="392" t="s">
        <v>51</v>
      </c>
      <c r="L354" s="392">
        <v>6.3291139240506328E-3</v>
      </c>
      <c r="M354" s="392"/>
      <c r="N354" s="658"/>
      <c r="O354" s="16"/>
      <c r="R354" s="13"/>
      <c r="S354" s="16"/>
      <c r="X354" s="2"/>
      <c r="Y354" s="2"/>
      <c r="Z354" s="2"/>
      <c r="AA354" s="2"/>
    </row>
    <row r="355" spans="2:27" ht="15.75" customHeight="1" thickBot="1" x14ac:dyDescent="0.3">
      <c r="B355" s="810"/>
      <c r="C355" s="823"/>
      <c r="D355" s="786" t="s">
        <v>945</v>
      </c>
      <c r="E355" s="787"/>
      <c r="F355" s="786" t="s">
        <v>946</v>
      </c>
      <c r="G355" s="787"/>
      <c r="H355" s="175" t="s">
        <v>51</v>
      </c>
      <c r="I355" s="175" t="s">
        <v>51</v>
      </c>
      <c r="J355" s="392">
        <v>7.3529411764705881E-3</v>
      </c>
      <c r="K355" s="392" t="s">
        <v>51</v>
      </c>
      <c r="L355" s="392">
        <v>1.2658227848101266E-2</v>
      </c>
      <c r="M355" s="392">
        <v>1.2903225806451613E-2</v>
      </c>
      <c r="N355" s="658"/>
      <c r="O355" s="16"/>
      <c r="R355" s="13"/>
      <c r="S355" s="16"/>
      <c r="AA355" s="2"/>
    </row>
    <row r="356" spans="2:27" ht="15.75" customHeight="1" thickBot="1" x14ac:dyDescent="0.3">
      <c r="B356" s="810"/>
      <c r="C356" s="823"/>
      <c r="D356" s="786" t="s">
        <v>966</v>
      </c>
      <c r="E356" s="787"/>
      <c r="F356" s="786" t="s">
        <v>967</v>
      </c>
      <c r="G356" s="787"/>
      <c r="H356" s="175" t="s">
        <v>51</v>
      </c>
      <c r="I356" s="175" t="s">
        <v>51</v>
      </c>
      <c r="J356" s="392" t="s">
        <v>51</v>
      </c>
      <c r="K356" s="392">
        <v>6.8493150684931503E-3</v>
      </c>
      <c r="L356" s="392"/>
      <c r="M356" s="392"/>
      <c r="N356" s="658"/>
      <c r="O356" s="16"/>
      <c r="R356" s="13"/>
      <c r="S356" s="16"/>
      <c r="AA356" s="2"/>
    </row>
    <row r="357" spans="2:27" ht="15.75" thickBot="1" x14ac:dyDescent="0.3">
      <c r="B357" s="811"/>
      <c r="C357" s="824"/>
      <c r="D357" s="825" t="s">
        <v>116</v>
      </c>
      <c r="E357" s="826"/>
      <c r="F357" s="825" t="s">
        <v>51</v>
      </c>
      <c r="G357" s="826"/>
      <c r="H357" s="172">
        <v>3.0300000000000001E-2</v>
      </c>
      <c r="I357" s="172">
        <f>7/108</f>
        <v>6.4814814814814811E-2</v>
      </c>
      <c r="J357" s="393">
        <v>5.1470588235294115E-2</v>
      </c>
      <c r="K357" s="393">
        <v>3.4246575342465752E-2</v>
      </c>
      <c r="L357" s="393">
        <f>6/158</f>
        <v>3.7974683544303799E-2</v>
      </c>
      <c r="M357" s="393">
        <v>1.935483870967742E-2</v>
      </c>
      <c r="N357" s="658"/>
      <c r="O357" s="16"/>
      <c r="R357" s="13"/>
      <c r="S357" s="16"/>
      <c r="AA357" s="2"/>
    </row>
    <row r="358" spans="2:27" x14ac:dyDescent="0.25">
      <c r="N358" s="16"/>
      <c r="R358" s="13"/>
      <c r="AA358" s="2"/>
    </row>
    <row r="359" spans="2:27" ht="25.5" customHeight="1" x14ac:dyDescent="0.25">
      <c r="B359" s="777" t="s">
        <v>74</v>
      </c>
      <c r="C359" s="777"/>
      <c r="D359" s="777" t="s">
        <v>78</v>
      </c>
      <c r="E359" s="777"/>
      <c r="F359" s="777" t="s">
        <v>79</v>
      </c>
      <c r="G359" s="777"/>
      <c r="H359" s="777" t="s">
        <v>80</v>
      </c>
      <c r="I359" s="777"/>
      <c r="J359" s="777"/>
      <c r="K359" s="777"/>
      <c r="L359" s="777"/>
      <c r="M359" s="777"/>
      <c r="N359" s="16"/>
      <c r="R359" s="13"/>
      <c r="AA359" s="2"/>
    </row>
    <row r="360" spans="2:27" x14ac:dyDescent="0.25">
      <c r="B360" s="778"/>
      <c r="C360" s="778"/>
      <c r="D360" s="778"/>
      <c r="E360" s="778"/>
      <c r="F360" s="778"/>
      <c r="G360" s="778"/>
      <c r="H360" s="199" t="s">
        <v>5</v>
      </c>
      <c r="I360" s="199" t="s">
        <v>6</v>
      </c>
      <c r="J360" s="269" t="s">
        <v>888</v>
      </c>
      <c r="K360" s="199" t="s">
        <v>953</v>
      </c>
      <c r="L360" s="269" t="s">
        <v>1125</v>
      </c>
      <c r="M360" s="199" t="s">
        <v>1229</v>
      </c>
      <c r="N360" s="16"/>
      <c r="R360" s="13"/>
      <c r="AA360" s="2"/>
    </row>
    <row r="361" spans="2:27" ht="15.75" thickBot="1" x14ac:dyDescent="0.3">
      <c r="B361" s="809" t="s">
        <v>8</v>
      </c>
      <c r="C361" s="822"/>
      <c r="D361" s="786" t="s">
        <v>81</v>
      </c>
      <c r="E361" s="787"/>
      <c r="F361" s="786" t="s">
        <v>117</v>
      </c>
      <c r="G361" s="787"/>
      <c r="H361" s="175" t="s">
        <v>51</v>
      </c>
      <c r="I361" s="175">
        <v>4.1666666666666666E-3</v>
      </c>
      <c r="J361" s="392">
        <v>4.1666666666666666E-3</v>
      </c>
      <c r="K361" s="175">
        <v>4.2372881355932203E-3</v>
      </c>
      <c r="L361" s="392" t="s">
        <v>51</v>
      </c>
      <c r="M361" s="392"/>
      <c r="N361" s="16"/>
      <c r="R361" s="13"/>
      <c r="S361" s="16"/>
      <c r="AA361" s="2"/>
    </row>
    <row r="362" spans="2:27" ht="15.75" thickBot="1" x14ac:dyDescent="0.3">
      <c r="B362" s="810"/>
      <c r="C362" s="823"/>
      <c r="D362" s="786" t="s">
        <v>81</v>
      </c>
      <c r="E362" s="787"/>
      <c r="F362" s="786" t="s">
        <v>83</v>
      </c>
      <c r="G362" s="787"/>
      <c r="H362" s="175" t="s">
        <v>51</v>
      </c>
      <c r="I362" s="175" t="s">
        <v>51</v>
      </c>
      <c r="J362" s="175" t="s">
        <v>51</v>
      </c>
      <c r="K362" s="175" t="s">
        <v>51</v>
      </c>
      <c r="L362" s="175" t="s">
        <v>51</v>
      </c>
      <c r="M362" s="392"/>
      <c r="N362" s="16"/>
      <c r="R362" s="13"/>
      <c r="S362" s="16"/>
      <c r="AA362" s="2"/>
    </row>
    <row r="363" spans="2:27" ht="15.75" thickBot="1" x14ac:dyDescent="0.3">
      <c r="B363" s="810"/>
      <c r="C363" s="823"/>
      <c r="D363" s="786" t="s">
        <v>81</v>
      </c>
      <c r="E363" s="787"/>
      <c r="F363" s="782" t="s">
        <v>118</v>
      </c>
      <c r="G363" s="783"/>
      <c r="H363" s="175" t="s">
        <v>51</v>
      </c>
      <c r="I363" s="175" t="s">
        <v>51</v>
      </c>
      <c r="J363" s="175" t="s">
        <v>51</v>
      </c>
      <c r="K363" s="175" t="s">
        <v>51</v>
      </c>
      <c r="L363" s="175" t="s">
        <v>51</v>
      </c>
      <c r="M363" s="392"/>
      <c r="N363" s="16"/>
      <c r="R363" s="13"/>
      <c r="S363" s="16"/>
      <c r="AA363" s="2"/>
    </row>
    <row r="364" spans="2:27" ht="15.75" thickBot="1" x14ac:dyDescent="0.3">
      <c r="B364" s="810"/>
      <c r="C364" s="823"/>
      <c r="D364" s="786" t="s">
        <v>81</v>
      </c>
      <c r="E364" s="787"/>
      <c r="F364" s="786" t="s">
        <v>119</v>
      </c>
      <c r="G364" s="787"/>
      <c r="H364" s="175">
        <v>4.1000000000000003E-3</v>
      </c>
      <c r="I364" s="175">
        <v>4.1666666666666666E-3</v>
      </c>
      <c r="J364" s="392">
        <v>4.1666666666666666E-3</v>
      </c>
      <c r="K364" s="175" t="s">
        <v>51</v>
      </c>
      <c r="L364" s="392" t="s">
        <v>51</v>
      </c>
      <c r="M364" s="392">
        <f>1/263</f>
        <v>3.8022813688212928E-3</v>
      </c>
      <c r="N364" s="16"/>
      <c r="R364" s="389"/>
      <c r="S364" s="16"/>
      <c r="AA364" s="2"/>
    </row>
    <row r="365" spans="2:27" ht="15.75" thickBot="1" x14ac:dyDescent="0.3">
      <c r="B365" s="810"/>
      <c r="C365" s="823"/>
      <c r="D365" s="786" t="s">
        <v>81</v>
      </c>
      <c r="E365" s="787"/>
      <c r="F365" s="782" t="s">
        <v>86</v>
      </c>
      <c r="G365" s="783"/>
      <c r="H365" s="175" t="s">
        <v>51</v>
      </c>
      <c r="I365" s="175" t="s">
        <v>51</v>
      </c>
      <c r="J365" s="392">
        <v>4.1666666666666666E-3</v>
      </c>
      <c r="K365" s="175">
        <v>4.2372881355932203E-3</v>
      </c>
      <c r="L365" s="392">
        <f>1/235</f>
        <v>4.2553191489361703E-3</v>
      </c>
      <c r="M365" s="392">
        <f>1/263</f>
        <v>3.8022813688212928E-3</v>
      </c>
      <c r="N365" s="16"/>
      <c r="O365" s="48"/>
      <c r="R365" s="13"/>
      <c r="T365" s="2"/>
      <c r="AA365" s="2"/>
    </row>
    <row r="366" spans="2:27" ht="15.75" thickBot="1" x14ac:dyDescent="0.3">
      <c r="B366" s="810"/>
      <c r="C366" s="823"/>
      <c r="D366" s="786" t="s">
        <v>81</v>
      </c>
      <c r="E366" s="787"/>
      <c r="F366" s="782" t="s">
        <v>120</v>
      </c>
      <c r="G366" s="783"/>
      <c r="H366" s="175" t="s">
        <v>51</v>
      </c>
      <c r="I366" s="175" t="s">
        <v>51</v>
      </c>
      <c r="J366" s="392">
        <v>4.1666666666666666E-3</v>
      </c>
      <c r="K366" s="175" t="s">
        <v>51</v>
      </c>
      <c r="L366" s="392" t="s">
        <v>51</v>
      </c>
      <c r="M366" s="392"/>
      <c r="N366" s="16"/>
      <c r="O366" s="48"/>
      <c r="R366" s="13"/>
      <c r="S366" s="16"/>
      <c r="AA366" s="2"/>
    </row>
    <row r="367" spans="2:27" ht="15.75" thickBot="1" x14ac:dyDescent="0.3">
      <c r="B367" s="810"/>
      <c r="C367" s="823"/>
      <c r="D367" s="786" t="s">
        <v>81</v>
      </c>
      <c r="E367" s="787"/>
      <c r="F367" s="786" t="s">
        <v>84</v>
      </c>
      <c r="G367" s="787"/>
      <c r="H367" s="175" t="s">
        <v>51</v>
      </c>
      <c r="I367" s="175" t="s">
        <v>51</v>
      </c>
      <c r="J367" s="175" t="s">
        <v>51</v>
      </c>
      <c r="K367" s="175" t="s">
        <v>51</v>
      </c>
      <c r="L367" s="175" t="s">
        <v>51</v>
      </c>
      <c r="M367" s="392"/>
      <c r="N367" s="16"/>
      <c r="R367" s="13"/>
      <c r="S367" s="16"/>
      <c r="AA367" s="2"/>
    </row>
    <row r="368" spans="2:27" ht="15.75" thickBot="1" x14ac:dyDescent="0.3">
      <c r="B368" s="810"/>
      <c r="C368" s="823"/>
      <c r="D368" s="786" t="s">
        <v>91</v>
      </c>
      <c r="E368" s="787"/>
      <c r="F368" s="786" t="s">
        <v>92</v>
      </c>
      <c r="G368" s="787"/>
      <c r="H368" s="175">
        <v>1.2500000000000001E-2</v>
      </c>
      <c r="I368" s="175">
        <v>4.1666666666666666E-3</v>
      </c>
      <c r="J368" s="392">
        <v>4.1666666666666666E-3</v>
      </c>
      <c r="K368" s="175">
        <v>1.2711864406779662E-2</v>
      </c>
      <c r="L368" s="392">
        <f>1/235</f>
        <v>4.2553191489361703E-3</v>
      </c>
      <c r="M368" s="392">
        <f>1/263</f>
        <v>3.8022813688212928E-3</v>
      </c>
      <c r="N368" s="16"/>
      <c r="R368" s="13"/>
      <c r="S368" s="16"/>
      <c r="AA368" s="2"/>
    </row>
    <row r="369" spans="2:27" ht="15.75" thickBot="1" x14ac:dyDescent="0.3">
      <c r="B369" s="810"/>
      <c r="C369" s="823"/>
      <c r="D369" s="786" t="s">
        <v>91</v>
      </c>
      <c r="E369" s="787"/>
      <c r="F369" s="782" t="s">
        <v>93</v>
      </c>
      <c r="G369" s="783"/>
      <c r="H369" s="175">
        <v>4.1666666666666664E-2</v>
      </c>
      <c r="I369" s="175">
        <v>3.7499999999999999E-2</v>
      </c>
      <c r="J369" s="392">
        <v>3.7499999999999999E-2</v>
      </c>
      <c r="K369" s="175">
        <v>2.9661016949152543E-2</v>
      </c>
      <c r="L369" s="392">
        <f>10/235</f>
        <v>4.2553191489361701E-2</v>
      </c>
      <c r="M369" s="392">
        <f>10/263</f>
        <v>3.8022813688212927E-2</v>
      </c>
      <c r="N369" s="16"/>
      <c r="R369" s="389"/>
      <c r="S369" s="16"/>
      <c r="AA369" s="2"/>
    </row>
    <row r="370" spans="2:27" ht="15.75" thickBot="1" x14ac:dyDescent="0.3">
      <c r="B370" s="810"/>
      <c r="C370" s="823"/>
      <c r="D370" s="786" t="s">
        <v>91</v>
      </c>
      <c r="E370" s="787"/>
      <c r="F370" s="782" t="s">
        <v>94</v>
      </c>
      <c r="G370" s="783"/>
      <c r="H370" s="175">
        <v>9.1700000000000004E-2</v>
      </c>
      <c r="I370" s="175">
        <v>6.6666666666666666E-2</v>
      </c>
      <c r="J370" s="392">
        <v>5.8333333333333334E-2</v>
      </c>
      <c r="K370" s="175">
        <v>6.3559322033898302E-2</v>
      </c>
      <c r="L370" s="392">
        <f>14/235</f>
        <v>5.9574468085106386E-2</v>
      </c>
      <c r="M370" s="392">
        <f>18/263</f>
        <v>6.8441064638783272E-2</v>
      </c>
      <c r="N370" s="16"/>
      <c r="R370" s="389"/>
      <c r="S370" s="16"/>
      <c r="AA370" s="2"/>
    </row>
    <row r="371" spans="2:27" ht="15.75" thickBot="1" x14ac:dyDescent="0.3">
      <c r="B371" s="810"/>
      <c r="C371" s="823"/>
      <c r="D371" s="786" t="s">
        <v>91</v>
      </c>
      <c r="E371" s="787"/>
      <c r="F371" s="782" t="s">
        <v>95</v>
      </c>
      <c r="G371" s="783"/>
      <c r="H371" s="175" t="s">
        <v>51</v>
      </c>
      <c r="I371" s="175" t="s">
        <v>51</v>
      </c>
      <c r="J371" s="392">
        <v>4.1666666666666666E-3</v>
      </c>
      <c r="K371" s="175" t="s">
        <v>51</v>
      </c>
      <c r="L371" s="392" t="s">
        <v>51</v>
      </c>
      <c r="M371" s="392"/>
      <c r="N371" s="16"/>
      <c r="R371" s="389"/>
      <c r="S371" s="16"/>
      <c r="AA371" s="2"/>
    </row>
    <row r="372" spans="2:27" ht="15.75" thickBot="1" x14ac:dyDescent="0.3">
      <c r="B372" s="810"/>
      <c r="C372" s="823"/>
      <c r="D372" s="786" t="s">
        <v>91</v>
      </c>
      <c r="E372" s="787"/>
      <c r="F372" s="782" t="s">
        <v>121</v>
      </c>
      <c r="G372" s="783"/>
      <c r="H372" s="175" t="s">
        <v>51</v>
      </c>
      <c r="I372" s="175" t="s">
        <v>51</v>
      </c>
      <c r="J372" s="175" t="s">
        <v>51</v>
      </c>
      <c r="K372" s="175" t="s">
        <v>51</v>
      </c>
      <c r="L372" s="175">
        <f>1/235</f>
        <v>4.2553191489361703E-3</v>
      </c>
      <c r="M372" s="392">
        <f>2/263</f>
        <v>7.6045627376425855E-3</v>
      </c>
      <c r="N372" s="16"/>
      <c r="R372" s="13"/>
      <c r="S372" s="16"/>
      <c r="AA372" s="2"/>
    </row>
    <row r="373" spans="2:27" ht="15.75" thickBot="1" x14ac:dyDescent="0.3">
      <c r="B373" s="810"/>
      <c r="C373" s="823"/>
      <c r="D373" s="786" t="s">
        <v>91</v>
      </c>
      <c r="E373" s="787"/>
      <c r="F373" s="782" t="s">
        <v>96</v>
      </c>
      <c r="G373" s="783"/>
      <c r="H373" s="175">
        <v>6.25E-2</v>
      </c>
      <c r="I373" s="175">
        <v>0.05</v>
      </c>
      <c r="J373" s="392">
        <v>6.6666666666666666E-2</v>
      </c>
      <c r="K373" s="175">
        <v>5.9322033898305086E-2</v>
      </c>
      <c r="L373" s="392">
        <f>9/235</f>
        <v>3.8297872340425532E-2</v>
      </c>
      <c r="M373" s="392">
        <f>14/263</f>
        <v>5.3231939163498096E-2</v>
      </c>
      <c r="N373" s="16"/>
      <c r="R373" s="13"/>
      <c r="S373" s="16"/>
      <c r="AA373" s="2"/>
    </row>
    <row r="374" spans="2:27" ht="15.75" thickBot="1" x14ac:dyDescent="0.3">
      <c r="B374" s="810"/>
      <c r="C374" s="823"/>
      <c r="D374" s="786" t="s">
        <v>91</v>
      </c>
      <c r="E374" s="787"/>
      <c r="F374" s="782" t="s">
        <v>99</v>
      </c>
      <c r="G374" s="783"/>
      <c r="H374" s="175">
        <v>8.3333333333333329E-2</v>
      </c>
      <c r="I374" s="175">
        <v>6.25E-2</v>
      </c>
      <c r="J374" s="392">
        <v>3.7499999999999999E-2</v>
      </c>
      <c r="K374" s="175">
        <v>3.3898305084745763E-2</v>
      </c>
      <c r="L374" s="392">
        <f>7/235</f>
        <v>2.9787234042553193E-2</v>
      </c>
      <c r="M374" s="392">
        <f>5/263</f>
        <v>1.9011406844106463E-2</v>
      </c>
      <c r="N374" s="16"/>
      <c r="R374" s="389"/>
      <c r="S374" s="16"/>
      <c r="AA374" s="2"/>
    </row>
    <row r="375" spans="2:27" ht="15.75" thickBot="1" x14ac:dyDescent="0.3">
      <c r="B375" s="810"/>
      <c r="C375" s="823"/>
      <c r="D375" s="786" t="s">
        <v>91</v>
      </c>
      <c r="E375" s="787"/>
      <c r="F375" s="782" t="s">
        <v>122</v>
      </c>
      <c r="G375" s="783"/>
      <c r="H375" s="175">
        <v>4.1666666666666666E-3</v>
      </c>
      <c r="I375" s="175">
        <v>4.1666666666666666E-3</v>
      </c>
      <c r="J375" s="392">
        <v>4.1666666666666666E-3</v>
      </c>
      <c r="K375" s="175">
        <v>8.4745762711864406E-3</v>
      </c>
      <c r="L375" s="392">
        <f>1/235</f>
        <v>4.2553191489361703E-3</v>
      </c>
      <c r="M375" s="392">
        <f>2/263</f>
        <v>7.6045627376425855E-3</v>
      </c>
      <c r="N375" s="16"/>
      <c r="R375" s="13"/>
      <c r="S375" s="16"/>
      <c r="AA375" s="2"/>
    </row>
    <row r="376" spans="2:27" ht="15.75" thickBot="1" x14ac:dyDescent="0.3">
      <c r="B376" s="810"/>
      <c r="C376" s="823"/>
      <c r="D376" s="786" t="s">
        <v>91</v>
      </c>
      <c r="E376" s="787"/>
      <c r="F376" s="782" t="s">
        <v>97</v>
      </c>
      <c r="G376" s="783"/>
      <c r="H376" s="175">
        <v>4.1666666666666666E-3</v>
      </c>
      <c r="I376" s="175">
        <v>4.1666666666666666E-3</v>
      </c>
      <c r="J376" s="392" t="s">
        <v>51</v>
      </c>
      <c r="K376" s="175" t="s">
        <v>51</v>
      </c>
      <c r="L376" s="392" t="s">
        <v>51</v>
      </c>
      <c r="M376" s="392"/>
      <c r="N376" s="16"/>
      <c r="R376" s="13"/>
      <c r="S376" s="16"/>
    </row>
    <row r="377" spans="2:27" ht="15.75" thickBot="1" x14ac:dyDescent="0.3">
      <c r="B377" s="810"/>
      <c r="C377" s="823"/>
      <c r="D377" s="786" t="s">
        <v>91</v>
      </c>
      <c r="E377" s="787"/>
      <c r="F377" s="782" t="s">
        <v>98</v>
      </c>
      <c r="G377" s="783"/>
      <c r="H377" s="175">
        <v>8.3333333333333332E-3</v>
      </c>
      <c r="I377" s="175">
        <v>8.3333333333333332E-3</v>
      </c>
      <c r="J377" s="392">
        <v>8.3333333333333332E-3</v>
      </c>
      <c r="K377" s="175">
        <v>4.2372881355932203E-3</v>
      </c>
      <c r="L377" s="392" t="s">
        <v>51</v>
      </c>
      <c r="M377" s="392"/>
      <c r="N377" s="16"/>
      <c r="R377" s="13"/>
      <c r="S377" s="16"/>
      <c r="Y377" s="3"/>
    </row>
    <row r="378" spans="2:27" ht="15.75" thickBot="1" x14ac:dyDescent="0.3">
      <c r="B378" s="810"/>
      <c r="C378" s="823"/>
      <c r="D378" s="786" t="s">
        <v>91</v>
      </c>
      <c r="E378" s="787"/>
      <c r="F378" s="782" t="s">
        <v>95</v>
      </c>
      <c r="G378" s="783"/>
      <c r="H378" s="175">
        <v>4.1666666666666666E-3</v>
      </c>
      <c r="I378" s="175" t="s">
        <v>51</v>
      </c>
      <c r="J378" s="392" t="s">
        <v>51</v>
      </c>
      <c r="K378" s="175" t="s">
        <v>51</v>
      </c>
      <c r="L378" s="392" t="s">
        <v>51</v>
      </c>
      <c r="M378" s="392"/>
      <c r="N378" s="16"/>
      <c r="R378" s="389"/>
      <c r="S378" s="16"/>
    </row>
    <row r="379" spans="2:27" ht="15.75" customHeight="1" thickBot="1" x14ac:dyDescent="0.3">
      <c r="B379" s="810"/>
      <c r="C379" s="823"/>
      <c r="D379" s="786" t="s">
        <v>104</v>
      </c>
      <c r="E379" s="787"/>
      <c r="F379" s="786" t="s">
        <v>123</v>
      </c>
      <c r="G379" s="787"/>
      <c r="H379" s="175">
        <v>1.2500000000000001E-2</v>
      </c>
      <c r="I379" s="175">
        <v>8.3333333333333332E-3</v>
      </c>
      <c r="J379" s="392">
        <v>4.1666666666666666E-3</v>
      </c>
      <c r="K379" s="175" t="s">
        <v>51</v>
      </c>
      <c r="L379" s="392">
        <f>1/235</f>
        <v>4.2553191489361703E-3</v>
      </c>
      <c r="M379" s="392">
        <f>2/263</f>
        <v>7.6045627376425855E-3</v>
      </c>
      <c r="N379" s="16"/>
      <c r="R379" s="13"/>
      <c r="S379" s="16"/>
    </row>
    <row r="380" spans="2:27" ht="15.75" customHeight="1" thickBot="1" x14ac:dyDescent="0.3">
      <c r="B380" s="810"/>
      <c r="C380" s="823"/>
      <c r="D380" s="786" t="s">
        <v>104</v>
      </c>
      <c r="E380" s="787"/>
      <c r="F380" s="786" t="s">
        <v>124</v>
      </c>
      <c r="G380" s="787"/>
      <c r="H380" s="175" t="s">
        <v>51</v>
      </c>
      <c r="I380" s="175" t="s">
        <v>51</v>
      </c>
      <c r="J380" s="392" t="s">
        <v>51</v>
      </c>
      <c r="K380" s="175" t="s">
        <v>51</v>
      </c>
      <c r="L380" s="392" t="s">
        <v>51</v>
      </c>
      <c r="M380" s="392"/>
      <c r="N380" s="16"/>
      <c r="R380" s="13"/>
      <c r="S380" s="16"/>
    </row>
    <row r="381" spans="2:27" ht="15.75" thickBot="1" x14ac:dyDescent="0.3">
      <c r="B381" s="810"/>
      <c r="C381" s="823"/>
      <c r="D381" s="786" t="s">
        <v>125</v>
      </c>
      <c r="E381" s="787"/>
      <c r="F381" s="786" t="s">
        <v>102</v>
      </c>
      <c r="G381" s="787"/>
      <c r="H381" s="175" t="s">
        <v>51</v>
      </c>
      <c r="I381" s="175" t="s">
        <v>51</v>
      </c>
      <c r="J381" s="392" t="s">
        <v>51</v>
      </c>
      <c r="K381" s="175" t="s">
        <v>51</v>
      </c>
      <c r="L381" s="392" t="s">
        <v>51</v>
      </c>
      <c r="M381" s="392">
        <f>1/263</f>
        <v>3.8022813688212928E-3</v>
      </c>
      <c r="N381" s="16"/>
      <c r="R381" s="13"/>
      <c r="S381" s="16"/>
    </row>
    <row r="382" spans="2:27" ht="35.25" customHeight="1" thickBot="1" x14ac:dyDescent="0.3">
      <c r="B382" s="810"/>
      <c r="C382" s="823"/>
      <c r="D382" s="786" t="s">
        <v>125</v>
      </c>
      <c r="E382" s="787"/>
      <c r="F382" s="786" t="s">
        <v>126</v>
      </c>
      <c r="G382" s="787"/>
      <c r="H382" s="175" t="s">
        <v>51</v>
      </c>
      <c r="I382" s="175" t="s">
        <v>51</v>
      </c>
      <c r="J382" s="392" t="s">
        <v>51</v>
      </c>
      <c r="K382" s="175" t="s">
        <v>51</v>
      </c>
      <c r="L382" s="392" t="s">
        <v>51</v>
      </c>
      <c r="M382" s="392"/>
      <c r="N382" s="16"/>
      <c r="R382" s="13"/>
      <c r="S382" s="16"/>
      <c r="X382" s="2"/>
      <c r="Y382" s="2"/>
      <c r="Z382" s="2"/>
      <c r="AA382" s="2"/>
    </row>
    <row r="383" spans="2:27" ht="15.75" thickBot="1" x14ac:dyDescent="0.3">
      <c r="B383" s="810"/>
      <c r="C383" s="823"/>
      <c r="D383" s="786" t="s">
        <v>100</v>
      </c>
      <c r="E383" s="787"/>
      <c r="F383" s="786" t="s">
        <v>127</v>
      </c>
      <c r="G383" s="787"/>
      <c r="H383" s="175">
        <v>4.1999999999999997E-3</v>
      </c>
      <c r="I383" s="175" t="s">
        <v>51</v>
      </c>
      <c r="J383" s="392" t="s">
        <v>51</v>
      </c>
      <c r="K383" s="175" t="s">
        <v>51</v>
      </c>
      <c r="L383" s="392">
        <f>1/235</f>
        <v>4.2553191489361703E-3</v>
      </c>
      <c r="M383" s="392">
        <f>1/263</f>
        <v>3.8022813688212928E-3</v>
      </c>
      <c r="N383" s="16"/>
      <c r="R383" s="13"/>
      <c r="S383" s="16"/>
      <c r="X383" s="2"/>
      <c r="Y383" s="2"/>
      <c r="Z383" s="2"/>
      <c r="AA383" s="2"/>
    </row>
    <row r="384" spans="2:27" ht="15.75" customHeight="1" thickBot="1" x14ac:dyDescent="0.3">
      <c r="B384" s="810"/>
      <c r="C384" s="823"/>
      <c r="D384" s="786" t="s">
        <v>100</v>
      </c>
      <c r="E384" s="787"/>
      <c r="F384" s="782" t="s">
        <v>128</v>
      </c>
      <c r="G384" s="783"/>
      <c r="H384" s="175" t="s">
        <v>51</v>
      </c>
      <c r="I384" s="175" t="s">
        <v>51</v>
      </c>
      <c r="J384" s="392" t="s">
        <v>51</v>
      </c>
      <c r="K384" s="175" t="s">
        <v>51</v>
      </c>
      <c r="L384" s="392" t="s">
        <v>51</v>
      </c>
      <c r="M384" s="392"/>
      <c r="N384" s="16"/>
      <c r="R384" s="13"/>
      <c r="S384" s="16"/>
      <c r="T384" s="2"/>
      <c r="AA384" s="2"/>
    </row>
    <row r="385" spans="2:27" ht="15.75" thickBot="1" x14ac:dyDescent="0.3">
      <c r="B385" s="810"/>
      <c r="C385" s="823"/>
      <c r="D385" s="786" t="s">
        <v>129</v>
      </c>
      <c r="E385" s="787"/>
      <c r="F385" s="782"/>
      <c r="G385" s="783"/>
      <c r="H385" s="175">
        <v>0.1125</v>
      </c>
      <c r="I385" s="175">
        <f>22/240</f>
        <v>9.166666666666666E-2</v>
      </c>
      <c r="J385" s="392">
        <v>8.7499999999999994E-2</v>
      </c>
      <c r="K385" s="175">
        <v>0.1059322033898305</v>
      </c>
      <c r="L385" s="392">
        <f>17/235</f>
        <v>7.2340425531914887E-2</v>
      </c>
      <c r="M385" s="392">
        <f>13/263</f>
        <v>4.9429657794676805E-2</v>
      </c>
      <c r="N385" s="16"/>
      <c r="R385" s="13"/>
      <c r="S385" s="16"/>
      <c r="T385" s="2"/>
      <c r="AA385" s="2"/>
    </row>
    <row r="386" spans="2:27" ht="15.75" thickBot="1" x14ac:dyDescent="0.3">
      <c r="B386" s="811"/>
      <c r="C386" s="824"/>
      <c r="D386" s="825" t="s">
        <v>130</v>
      </c>
      <c r="E386" s="826"/>
      <c r="F386" s="825" t="s">
        <v>51</v>
      </c>
      <c r="G386" s="826"/>
      <c r="H386" s="172">
        <v>0.55420000000000003</v>
      </c>
      <c r="I386" s="172">
        <f>157/240</f>
        <v>0.65416666666666667</v>
      </c>
      <c r="J386" s="393">
        <v>0.67083333333333328</v>
      </c>
      <c r="K386" s="172">
        <v>0.68644067796610164</v>
      </c>
      <c r="L386" s="393">
        <f>172/235</f>
        <v>0.73191489361702122</v>
      </c>
      <c r="M386" s="393">
        <f>192/263</f>
        <v>0.73003802281368824</v>
      </c>
      <c r="R386" s="13"/>
      <c r="S386" s="16"/>
      <c r="T386" s="2"/>
      <c r="AA386" s="2"/>
    </row>
    <row r="387" spans="2:27" x14ac:dyDescent="0.25">
      <c r="R387" s="13"/>
      <c r="S387" s="16"/>
      <c r="T387" s="2"/>
      <c r="AA387" s="2"/>
    </row>
    <row r="388" spans="2:27" ht="31.5" customHeight="1" x14ac:dyDescent="0.25">
      <c r="B388" s="777" t="s">
        <v>74</v>
      </c>
      <c r="C388" s="777"/>
      <c r="D388" s="777" t="s">
        <v>78</v>
      </c>
      <c r="E388" s="777"/>
      <c r="F388" s="777" t="s">
        <v>79</v>
      </c>
      <c r="G388" s="777"/>
      <c r="H388" s="777" t="s">
        <v>80</v>
      </c>
      <c r="I388" s="777"/>
      <c r="J388" s="777"/>
      <c r="K388" s="777"/>
      <c r="Q388" s="13"/>
      <c r="S388" s="2"/>
      <c r="Z388" s="2"/>
    </row>
    <row r="389" spans="2:27" x14ac:dyDescent="0.25">
      <c r="B389" s="778"/>
      <c r="C389" s="778"/>
      <c r="D389" s="778"/>
      <c r="E389" s="778"/>
      <c r="F389" s="778"/>
      <c r="G389" s="778"/>
      <c r="H389" s="269" t="s">
        <v>888</v>
      </c>
      <c r="I389" s="199" t="s">
        <v>953</v>
      </c>
      <c r="J389" s="269" t="s">
        <v>1125</v>
      </c>
      <c r="K389" s="199" t="s">
        <v>1229</v>
      </c>
      <c r="Q389" s="13"/>
      <c r="S389" s="2"/>
      <c r="Z389" s="2"/>
    </row>
    <row r="390" spans="2:27" ht="15.75" thickBot="1" x14ac:dyDescent="0.3">
      <c r="B390" s="810" t="s">
        <v>904</v>
      </c>
      <c r="C390" s="823"/>
      <c r="D390" s="786" t="s">
        <v>81</v>
      </c>
      <c r="E390" s="787"/>
      <c r="F390" s="786" t="s">
        <v>117</v>
      </c>
      <c r="G390" s="787"/>
      <c r="H390" s="392" t="s">
        <v>51</v>
      </c>
      <c r="I390" s="175">
        <v>6.25E-2</v>
      </c>
      <c r="J390" s="392" t="s">
        <v>51</v>
      </c>
      <c r="K390" s="392" t="s">
        <v>51</v>
      </c>
      <c r="Q390" s="13"/>
      <c r="S390" s="2"/>
      <c r="Z390" s="2"/>
    </row>
    <row r="391" spans="2:27" ht="15.75" thickBot="1" x14ac:dyDescent="0.3">
      <c r="B391" s="810"/>
      <c r="C391" s="823"/>
      <c r="D391" s="786" t="s">
        <v>81</v>
      </c>
      <c r="E391" s="787"/>
      <c r="F391" s="786" t="s">
        <v>83</v>
      </c>
      <c r="G391" s="787"/>
      <c r="H391" s="392" t="s">
        <v>51</v>
      </c>
      <c r="I391" s="175">
        <v>6.25E-2</v>
      </c>
      <c r="J391" s="175">
        <f>1/21</f>
        <v>4.7619047619047616E-2</v>
      </c>
      <c r="K391" s="392" t="s">
        <v>51</v>
      </c>
      <c r="Q391" s="13"/>
      <c r="S391" s="2"/>
      <c r="Z391" s="2"/>
    </row>
    <row r="392" spans="2:27" ht="15.75" thickBot="1" x14ac:dyDescent="0.3">
      <c r="B392" s="810"/>
      <c r="C392" s="823"/>
      <c r="D392" s="786" t="s">
        <v>81</v>
      </c>
      <c r="E392" s="787"/>
      <c r="F392" s="782" t="s">
        <v>118</v>
      </c>
      <c r="G392" s="783"/>
      <c r="H392" s="392" t="s">
        <v>51</v>
      </c>
      <c r="I392" s="175" t="s">
        <v>51</v>
      </c>
      <c r="J392" s="175" t="s">
        <v>51</v>
      </c>
      <c r="K392" s="392" t="s">
        <v>51</v>
      </c>
      <c r="S392" s="2"/>
      <c r="Z392" s="2"/>
    </row>
    <row r="393" spans="2:27" ht="15.75" thickBot="1" x14ac:dyDescent="0.3">
      <c r="B393" s="810"/>
      <c r="C393" s="823"/>
      <c r="D393" s="786" t="s">
        <v>81</v>
      </c>
      <c r="E393" s="787"/>
      <c r="F393" s="786" t="s">
        <v>119</v>
      </c>
      <c r="G393" s="787"/>
      <c r="H393" s="392" t="s">
        <v>51</v>
      </c>
      <c r="I393" s="175" t="s">
        <v>51</v>
      </c>
      <c r="J393" s="392" t="s">
        <v>51</v>
      </c>
      <c r="K393" s="392" t="s">
        <v>51</v>
      </c>
      <c r="S393" s="2"/>
      <c r="Z393" s="2"/>
    </row>
    <row r="394" spans="2:27" ht="15.75" thickBot="1" x14ac:dyDescent="0.3">
      <c r="B394" s="810"/>
      <c r="C394" s="823"/>
      <c r="D394" s="786" t="s">
        <v>81</v>
      </c>
      <c r="E394" s="787"/>
      <c r="F394" s="782" t="s">
        <v>86</v>
      </c>
      <c r="G394" s="783"/>
      <c r="H394" s="392" t="s">
        <v>51</v>
      </c>
      <c r="I394" s="175" t="s">
        <v>51</v>
      </c>
      <c r="J394" s="392" t="s">
        <v>51</v>
      </c>
      <c r="K394" s="392" t="s">
        <v>51</v>
      </c>
      <c r="S394" s="2"/>
      <c r="Z394" s="2"/>
    </row>
    <row r="395" spans="2:27" ht="15.75" thickBot="1" x14ac:dyDescent="0.3">
      <c r="B395" s="810"/>
      <c r="C395" s="823"/>
      <c r="D395" s="786" t="s">
        <v>81</v>
      </c>
      <c r="E395" s="787"/>
      <c r="F395" s="782" t="s">
        <v>120</v>
      </c>
      <c r="G395" s="783"/>
      <c r="H395" s="392" t="s">
        <v>51</v>
      </c>
      <c r="I395" s="175" t="s">
        <v>51</v>
      </c>
      <c r="J395" s="392" t="s">
        <v>51</v>
      </c>
      <c r="K395" s="392" t="s">
        <v>51</v>
      </c>
      <c r="S395" s="2"/>
      <c r="Z395" s="2"/>
    </row>
    <row r="396" spans="2:27" ht="15.75" thickBot="1" x14ac:dyDescent="0.3">
      <c r="B396" s="810"/>
      <c r="C396" s="823"/>
      <c r="D396" s="786" t="s">
        <v>81</v>
      </c>
      <c r="E396" s="787"/>
      <c r="F396" s="786" t="s">
        <v>84</v>
      </c>
      <c r="G396" s="787"/>
      <c r="H396" s="392" t="s">
        <v>51</v>
      </c>
      <c r="I396" s="175" t="s">
        <v>51</v>
      </c>
      <c r="J396" s="175" t="s">
        <v>51</v>
      </c>
      <c r="K396" s="392" t="s">
        <v>51</v>
      </c>
      <c r="S396" s="2"/>
      <c r="Z396" s="2"/>
    </row>
    <row r="397" spans="2:27" ht="15.75" thickBot="1" x14ac:dyDescent="0.3">
      <c r="B397" s="810"/>
      <c r="C397" s="823"/>
      <c r="D397" s="786" t="s">
        <v>91</v>
      </c>
      <c r="E397" s="787"/>
      <c r="F397" s="786" t="s">
        <v>92</v>
      </c>
      <c r="G397" s="787"/>
      <c r="H397" s="392" t="s">
        <v>51</v>
      </c>
      <c r="I397" s="175" t="s">
        <v>51</v>
      </c>
      <c r="J397" s="392" t="s">
        <v>51</v>
      </c>
      <c r="K397" s="392" t="s">
        <v>51</v>
      </c>
      <c r="S397" s="2"/>
      <c r="Z397" s="2"/>
    </row>
    <row r="398" spans="2:27" ht="15.75" thickBot="1" x14ac:dyDescent="0.3">
      <c r="B398" s="810"/>
      <c r="C398" s="823"/>
      <c r="D398" s="786" t="s">
        <v>91</v>
      </c>
      <c r="E398" s="787"/>
      <c r="F398" s="782" t="s">
        <v>93</v>
      </c>
      <c r="G398" s="783"/>
      <c r="H398" s="392" t="s">
        <v>51</v>
      </c>
      <c r="I398" s="175">
        <v>0.125</v>
      </c>
      <c r="J398" s="392">
        <f>1/21</f>
        <v>4.7619047619047616E-2</v>
      </c>
      <c r="K398" s="392">
        <f>1/17</f>
        <v>5.8823529411764705E-2</v>
      </c>
      <c r="S398" s="2"/>
      <c r="Z398" s="2"/>
    </row>
    <row r="399" spans="2:27" ht="15.75" thickBot="1" x14ac:dyDescent="0.3">
      <c r="B399" s="810"/>
      <c r="C399" s="823"/>
      <c r="D399" s="786" t="s">
        <v>91</v>
      </c>
      <c r="E399" s="787"/>
      <c r="F399" s="782" t="s">
        <v>94</v>
      </c>
      <c r="G399" s="783"/>
      <c r="H399" s="392" t="s">
        <v>51</v>
      </c>
      <c r="I399" s="175">
        <v>0.125</v>
      </c>
      <c r="J399" s="392">
        <f>2/21</f>
        <v>9.5238095238095233E-2</v>
      </c>
      <c r="K399" s="392">
        <f>2/17</f>
        <v>0.11764705882352941</v>
      </c>
      <c r="S399" s="2"/>
      <c r="Z399" s="2"/>
    </row>
    <row r="400" spans="2:27" ht="15.75" thickBot="1" x14ac:dyDescent="0.3">
      <c r="B400" s="810"/>
      <c r="C400" s="823"/>
      <c r="D400" s="786" t="s">
        <v>91</v>
      </c>
      <c r="E400" s="787"/>
      <c r="F400" s="782" t="s">
        <v>121</v>
      </c>
      <c r="G400" s="783"/>
      <c r="H400" s="392" t="s">
        <v>51</v>
      </c>
      <c r="I400" s="175" t="s">
        <v>51</v>
      </c>
      <c r="J400" s="392" t="s">
        <v>51</v>
      </c>
      <c r="K400" s="392" t="s">
        <v>51</v>
      </c>
      <c r="S400" s="2"/>
      <c r="Z400" s="2"/>
    </row>
    <row r="401" spans="2:26" ht="15.75" thickBot="1" x14ac:dyDescent="0.3">
      <c r="B401" s="810"/>
      <c r="C401" s="823"/>
      <c r="D401" s="786" t="s">
        <v>91</v>
      </c>
      <c r="E401" s="787"/>
      <c r="F401" s="782" t="s">
        <v>96</v>
      </c>
      <c r="G401" s="783"/>
      <c r="H401" s="392">
        <v>0.375</v>
      </c>
      <c r="I401" s="175">
        <v>0.125</v>
      </c>
      <c r="J401" s="175">
        <f>2/21</f>
        <v>9.5238095238095233E-2</v>
      </c>
      <c r="K401" s="392">
        <f>1/17</f>
        <v>5.8823529411764705E-2</v>
      </c>
      <c r="S401" s="2"/>
      <c r="Z401" s="2"/>
    </row>
    <row r="402" spans="2:26" ht="15.75" thickBot="1" x14ac:dyDescent="0.3">
      <c r="B402" s="810"/>
      <c r="C402" s="823"/>
      <c r="D402" s="786" t="s">
        <v>91</v>
      </c>
      <c r="E402" s="787"/>
      <c r="F402" s="782" t="s">
        <v>99</v>
      </c>
      <c r="G402" s="783"/>
      <c r="H402" s="392" t="s">
        <v>51</v>
      </c>
      <c r="I402" s="175">
        <v>6.25E-2</v>
      </c>
      <c r="J402" s="392">
        <f>2/21</f>
        <v>9.5238095238095233E-2</v>
      </c>
      <c r="K402" s="392">
        <f>3/17</f>
        <v>0.17647058823529413</v>
      </c>
      <c r="S402" s="2"/>
      <c r="Z402" s="2"/>
    </row>
    <row r="403" spans="2:26" ht="15.75" thickBot="1" x14ac:dyDescent="0.3">
      <c r="B403" s="810"/>
      <c r="C403" s="823"/>
      <c r="D403" s="786" t="s">
        <v>91</v>
      </c>
      <c r="E403" s="787"/>
      <c r="F403" s="782" t="s">
        <v>122</v>
      </c>
      <c r="G403" s="783"/>
      <c r="H403" s="392" t="s">
        <v>51</v>
      </c>
      <c r="I403" s="175" t="s">
        <v>51</v>
      </c>
      <c r="J403" s="392">
        <f>1/21</f>
        <v>4.7619047619047616E-2</v>
      </c>
      <c r="K403" s="392">
        <f>1/17</f>
        <v>5.8823529411764705E-2</v>
      </c>
      <c r="S403" s="2"/>
      <c r="Z403" s="2"/>
    </row>
    <row r="404" spans="2:26" ht="15.75" thickBot="1" x14ac:dyDescent="0.3">
      <c r="B404" s="810"/>
      <c r="C404" s="823"/>
      <c r="D404" s="786" t="s">
        <v>91</v>
      </c>
      <c r="E404" s="787"/>
      <c r="F404" s="782" t="s">
        <v>97</v>
      </c>
      <c r="G404" s="783"/>
      <c r="H404" s="392" t="s">
        <v>51</v>
      </c>
      <c r="I404" s="175" t="s">
        <v>51</v>
      </c>
      <c r="J404" s="392" t="s">
        <v>51</v>
      </c>
      <c r="K404" s="392" t="s">
        <v>51</v>
      </c>
      <c r="S404" s="2"/>
    </row>
    <row r="405" spans="2:26" ht="15.75" thickBot="1" x14ac:dyDescent="0.3">
      <c r="B405" s="810"/>
      <c r="C405" s="823"/>
      <c r="D405" s="786" t="s">
        <v>91</v>
      </c>
      <c r="E405" s="787"/>
      <c r="F405" s="782" t="s">
        <v>98</v>
      </c>
      <c r="G405" s="783"/>
      <c r="H405" s="392" t="s">
        <v>51</v>
      </c>
      <c r="I405" s="175" t="s">
        <v>51</v>
      </c>
      <c r="J405" s="392" t="s">
        <v>51</v>
      </c>
      <c r="K405" s="392">
        <f>1/17</f>
        <v>5.8823529411764705E-2</v>
      </c>
      <c r="X405" s="3"/>
    </row>
    <row r="406" spans="2:26" ht="15.75" thickBot="1" x14ac:dyDescent="0.3">
      <c r="B406" s="810"/>
      <c r="C406" s="823"/>
      <c r="D406" s="786" t="s">
        <v>91</v>
      </c>
      <c r="E406" s="787"/>
      <c r="F406" s="782" t="s">
        <v>95</v>
      </c>
      <c r="G406" s="783"/>
      <c r="H406" s="392" t="s">
        <v>51</v>
      </c>
      <c r="I406" s="175" t="s">
        <v>51</v>
      </c>
      <c r="J406" s="392">
        <f>1/21</f>
        <v>4.7619047619047616E-2</v>
      </c>
      <c r="K406" s="392">
        <f>2/17</f>
        <v>0.11764705882352941</v>
      </c>
    </row>
    <row r="407" spans="2:26" ht="15.75" customHeight="1" thickBot="1" x14ac:dyDescent="0.3">
      <c r="B407" s="810"/>
      <c r="C407" s="823"/>
      <c r="D407" s="786" t="s">
        <v>104</v>
      </c>
      <c r="E407" s="787"/>
      <c r="F407" s="786" t="s">
        <v>123</v>
      </c>
      <c r="G407" s="787"/>
      <c r="H407" s="392" t="s">
        <v>51</v>
      </c>
      <c r="I407" s="175">
        <v>6.25E-2</v>
      </c>
      <c r="J407" s="392">
        <f>2/21</f>
        <v>9.5238095238095233E-2</v>
      </c>
      <c r="K407" s="392" t="s">
        <v>51</v>
      </c>
    </row>
    <row r="408" spans="2:26" ht="15.75" customHeight="1" thickBot="1" x14ac:dyDescent="0.3">
      <c r="B408" s="810"/>
      <c r="C408" s="823"/>
      <c r="D408" s="786" t="s">
        <v>104</v>
      </c>
      <c r="E408" s="787"/>
      <c r="F408" s="786" t="s">
        <v>124</v>
      </c>
      <c r="G408" s="787"/>
      <c r="H408" s="392" t="s">
        <v>51</v>
      </c>
      <c r="I408" s="175" t="s">
        <v>51</v>
      </c>
      <c r="J408" s="392" t="s">
        <v>51</v>
      </c>
      <c r="K408" s="392" t="s">
        <v>51</v>
      </c>
    </row>
    <row r="409" spans="2:26" ht="15.75" thickBot="1" x14ac:dyDescent="0.3">
      <c r="B409" s="810"/>
      <c r="C409" s="823"/>
      <c r="D409" s="786" t="s">
        <v>125</v>
      </c>
      <c r="E409" s="787"/>
      <c r="F409" s="786" t="s">
        <v>101</v>
      </c>
      <c r="G409" s="787"/>
      <c r="H409" s="392" t="s">
        <v>51</v>
      </c>
      <c r="I409" s="175">
        <v>6.25E-2</v>
      </c>
      <c r="J409" s="392" t="s">
        <v>51</v>
      </c>
      <c r="K409" s="392" t="s">
        <v>51</v>
      </c>
    </row>
    <row r="410" spans="2:26" ht="15.75" thickBot="1" x14ac:dyDescent="0.3">
      <c r="B410" s="810"/>
      <c r="C410" s="823"/>
      <c r="D410" s="786" t="s">
        <v>125</v>
      </c>
      <c r="E410" s="787"/>
      <c r="F410" s="786" t="s">
        <v>126</v>
      </c>
      <c r="G410" s="787"/>
      <c r="H410" s="392" t="s">
        <v>51</v>
      </c>
      <c r="I410" s="175" t="s">
        <v>51</v>
      </c>
      <c r="J410" s="392" t="s">
        <v>51</v>
      </c>
      <c r="K410" s="392" t="s">
        <v>51</v>
      </c>
    </row>
    <row r="411" spans="2:26" ht="15.75" thickBot="1" x14ac:dyDescent="0.3">
      <c r="B411" s="810"/>
      <c r="C411" s="823"/>
      <c r="D411" s="786" t="s">
        <v>100</v>
      </c>
      <c r="E411" s="787"/>
      <c r="F411" s="786" t="s">
        <v>103</v>
      </c>
      <c r="G411" s="787"/>
      <c r="H411" s="392" t="s">
        <v>51</v>
      </c>
      <c r="I411" s="175" t="s">
        <v>51</v>
      </c>
      <c r="J411" s="392" t="s">
        <v>51</v>
      </c>
      <c r="K411" s="392" t="s">
        <v>51</v>
      </c>
      <c r="Q411" s="3"/>
    </row>
    <row r="412" spans="2:26" ht="15.75" thickBot="1" x14ac:dyDescent="0.3">
      <c r="B412" s="810"/>
      <c r="C412" s="823"/>
      <c r="D412" s="786" t="s">
        <v>100</v>
      </c>
      <c r="E412" s="787"/>
      <c r="F412" s="782" t="s">
        <v>128</v>
      </c>
      <c r="G412" s="783"/>
      <c r="H412" s="392" t="s">
        <v>51</v>
      </c>
      <c r="I412" s="175" t="s">
        <v>51</v>
      </c>
      <c r="J412" s="392" t="s">
        <v>51</v>
      </c>
      <c r="K412" s="392" t="s">
        <v>51</v>
      </c>
    </row>
    <row r="413" spans="2:26" ht="15.75" thickBot="1" x14ac:dyDescent="0.3">
      <c r="B413" s="810"/>
      <c r="C413" s="823"/>
      <c r="D413" s="786" t="s">
        <v>129</v>
      </c>
      <c r="E413" s="787"/>
      <c r="F413" s="782" t="s">
        <v>51</v>
      </c>
      <c r="G413" s="783"/>
      <c r="H413" s="392">
        <v>0.25</v>
      </c>
      <c r="I413" s="175">
        <v>6.25E-2</v>
      </c>
      <c r="J413" s="392">
        <f>2/21</f>
        <v>9.5238095238095233E-2</v>
      </c>
      <c r="K413" s="392">
        <f>2/17</f>
        <v>0.11764705882352941</v>
      </c>
    </row>
    <row r="414" spans="2:26" ht="15.75" thickBot="1" x14ac:dyDescent="0.3">
      <c r="B414" s="811"/>
      <c r="C414" s="824"/>
      <c r="D414" s="825" t="s">
        <v>130</v>
      </c>
      <c r="E414" s="826"/>
      <c r="F414" s="825" t="s">
        <v>51</v>
      </c>
      <c r="G414" s="826"/>
      <c r="H414" s="393">
        <v>0.375</v>
      </c>
      <c r="I414" s="393">
        <v>0.25</v>
      </c>
      <c r="J414" s="393">
        <f>7/21</f>
        <v>0.33333333333333331</v>
      </c>
      <c r="K414" s="393">
        <f>4/17</f>
        <v>0.23529411764705882</v>
      </c>
    </row>
    <row r="415" spans="2:26" x14ac:dyDescent="0.25">
      <c r="B415" s="3" t="s">
        <v>1922</v>
      </c>
    </row>
    <row r="416" spans="2:26" x14ac:dyDescent="0.25">
      <c r="B416" s="3" t="s">
        <v>42</v>
      </c>
    </row>
    <row r="420" spans="4:4" x14ac:dyDescent="0.25">
      <c r="D420" s="6"/>
    </row>
    <row r="421" spans="4:4" x14ac:dyDescent="0.25">
      <c r="D421" s="6"/>
    </row>
    <row r="422" spans="4:4" x14ac:dyDescent="0.25">
      <c r="D422" s="6"/>
    </row>
    <row r="447" spans="9:9" x14ac:dyDescent="0.25">
      <c r="I447" s="6"/>
    </row>
  </sheetData>
  <sortState xmlns:xlrd2="http://schemas.microsoft.com/office/spreadsheetml/2017/richdata2" ref="Q365:T387">
    <sortCondition ref="Q364:Q387"/>
  </sortState>
  <mergeCells count="432">
    <mergeCell ref="N270:P270"/>
    <mergeCell ref="E229:V229"/>
    <mergeCell ref="E249:V249"/>
    <mergeCell ref="E269:P269"/>
    <mergeCell ref="H312:M312"/>
    <mergeCell ref="H359:M359"/>
    <mergeCell ref="H388:K388"/>
    <mergeCell ref="B48:L48"/>
    <mergeCell ref="B77:L77"/>
    <mergeCell ref="B162:V162"/>
    <mergeCell ref="B228:V228"/>
    <mergeCell ref="B292:K292"/>
    <mergeCell ref="B311:M311"/>
    <mergeCell ref="T164:V164"/>
    <mergeCell ref="T184:V184"/>
    <mergeCell ref="N204:P204"/>
    <mergeCell ref="E163:V163"/>
    <mergeCell ref="E183:V183"/>
    <mergeCell ref="E203:P203"/>
    <mergeCell ref="T230:V230"/>
    <mergeCell ref="T250:V250"/>
    <mergeCell ref="B312:C313"/>
    <mergeCell ref="D348:E348"/>
    <mergeCell ref="D350:E350"/>
    <mergeCell ref="B359:C360"/>
    <mergeCell ref="D361:E361"/>
    <mergeCell ref="F361:G361"/>
    <mergeCell ref="D362:E362"/>
    <mergeCell ref="F362:G362"/>
    <mergeCell ref="D363:E363"/>
    <mergeCell ref="F363:G363"/>
    <mergeCell ref="B361:C386"/>
    <mergeCell ref="D364:E364"/>
    <mergeCell ref="F364:G364"/>
    <mergeCell ref="D365:E365"/>
    <mergeCell ref="F365:G365"/>
    <mergeCell ref="D366:E366"/>
    <mergeCell ref="F366:G366"/>
    <mergeCell ref="D367:E367"/>
    <mergeCell ref="D373:E373"/>
    <mergeCell ref="F373:G373"/>
    <mergeCell ref="F376:G376"/>
    <mergeCell ref="D385:E385"/>
    <mergeCell ref="F385:G385"/>
    <mergeCell ref="D380:E380"/>
    <mergeCell ref="F380:G380"/>
    <mergeCell ref="F368:G368"/>
    <mergeCell ref="D384:E384"/>
    <mergeCell ref="D402:E402"/>
    <mergeCell ref="F402:G402"/>
    <mergeCell ref="D413:E413"/>
    <mergeCell ref="F413:G413"/>
    <mergeCell ref="D414:E414"/>
    <mergeCell ref="F414:G414"/>
    <mergeCell ref="D408:E408"/>
    <mergeCell ref="F408:G408"/>
    <mergeCell ref="D409:E409"/>
    <mergeCell ref="F409:G409"/>
    <mergeCell ref="D410:E410"/>
    <mergeCell ref="F410:G410"/>
    <mergeCell ref="D411:E411"/>
    <mergeCell ref="F411:G411"/>
    <mergeCell ref="D412:E412"/>
    <mergeCell ref="F412:G412"/>
    <mergeCell ref="D403:E403"/>
    <mergeCell ref="F403:G403"/>
    <mergeCell ref="D404:E404"/>
    <mergeCell ref="F404:G404"/>
    <mergeCell ref="D405:E405"/>
    <mergeCell ref="F405:G405"/>
    <mergeCell ref="D406:E406"/>
    <mergeCell ref="F388:G389"/>
    <mergeCell ref="D398:E398"/>
    <mergeCell ref="F398:G398"/>
    <mergeCell ref="D399:E399"/>
    <mergeCell ref="F399:G399"/>
    <mergeCell ref="D400:E400"/>
    <mergeCell ref="F400:G400"/>
    <mergeCell ref="D401:E401"/>
    <mergeCell ref="F401:G401"/>
    <mergeCell ref="D351:E351"/>
    <mergeCell ref="B390:C414"/>
    <mergeCell ref="D390:E390"/>
    <mergeCell ref="F390:G390"/>
    <mergeCell ref="D391:E391"/>
    <mergeCell ref="F391:G391"/>
    <mergeCell ref="D392:E392"/>
    <mergeCell ref="F392:G392"/>
    <mergeCell ref="D393:E393"/>
    <mergeCell ref="F393:G393"/>
    <mergeCell ref="D394:E394"/>
    <mergeCell ref="F394:G394"/>
    <mergeCell ref="D395:E395"/>
    <mergeCell ref="F395:G395"/>
    <mergeCell ref="D396:E396"/>
    <mergeCell ref="F396:G396"/>
    <mergeCell ref="D397:E397"/>
    <mergeCell ref="F397:G397"/>
    <mergeCell ref="F406:G406"/>
    <mergeCell ref="D407:E407"/>
    <mergeCell ref="F407:G407"/>
    <mergeCell ref="B388:C389"/>
    <mergeCell ref="D388:E389"/>
    <mergeCell ref="F384:G384"/>
    <mergeCell ref="F369:G369"/>
    <mergeCell ref="D386:E386"/>
    <mergeCell ref="F386:G386"/>
    <mergeCell ref="D368:E368"/>
    <mergeCell ref="D381:E381"/>
    <mergeCell ref="D369:E369"/>
    <mergeCell ref="D371:E371"/>
    <mergeCell ref="F371:G371"/>
    <mergeCell ref="D383:E383"/>
    <mergeCell ref="F383:G383"/>
    <mergeCell ref="D377:E377"/>
    <mergeCell ref="F377:G377"/>
    <mergeCell ref="D378:E378"/>
    <mergeCell ref="F378:G378"/>
    <mergeCell ref="D379:E379"/>
    <mergeCell ref="F379:G379"/>
    <mergeCell ref="D374:E374"/>
    <mergeCell ref="D42:F42"/>
    <mergeCell ref="D43:F43"/>
    <mergeCell ref="D101:F101"/>
    <mergeCell ref="D102:F102"/>
    <mergeCell ref="D103:F103"/>
    <mergeCell ref="D104:F104"/>
    <mergeCell ref="D105:F105"/>
    <mergeCell ref="D106:F106"/>
    <mergeCell ref="D107:F107"/>
    <mergeCell ref="D49:F49"/>
    <mergeCell ref="D56:F56"/>
    <mergeCell ref="D54:F54"/>
    <mergeCell ref="D53:F53"/>
    <mergeCell ref="D52:F52"/>
    <mergeCell ref="D51:F51"/>
    <mergeCell ref="D50:F50"/>
    <mergeCell ref="D55:F55"/>
    <mergeCell ref="D88:F88"/>
    <mergeCell ref="D87:F87"/>
    <mergeCell ref="D84:F84"/>
    <mergeCell ref="D83:F83"/>
    <mergeCell ref="F348:G348"/>
    <mergeCell ref="F318:G318"/>
    <mergeCell ref="F351:G351"/>
    <mergeCell ref="F352:G352"/>
    <mergeCell ref="F353:G353"/>
    <mergeCell ref="F338:G338"/>
    <mergeCell ref="F340:G340"/>
    <mergeCell ref="F341:G341"/>
    <mergeCell ref="F344:G344"/>
    <mergeCell ref="F345:G345"/>
    <mergeCell ref="F339:G339"/>
    <mergeCell ref="F350:G350"/>
    <mergeCell ref="F325:G325"/>
    <mergeCell ref="F326:G326"/>
    <mergeCell ref="F321:G321"/>
    <mergeCell ref="F320:G320"/>
    <mergeCell ref="F322:G322"/>
    <mergeCell ref="D345:E345"/>
    <mergeCell ref="D330:E330"/>
    <mergeCell ref="D331:E331"/>
    <mergeCell ref="D332:E332"/>
    <mergeCell ref="D335:E335"/>
    <mergeCell ref="D337:E337"/>
    <mergeCell ref="D346:E346"/>
    <mergeCell ref="D312:E313"/>
    <mergeCell ref="F317:G317"/>
    <mergeCell ref="F323:G323"/>
    <mergeCell ref="F324:G324"/>
    <mergeCell ref="F346:G346"/>
    <mergeCell ref="D315:E315"/>
    <mergeCell ref="F316:G316"/>
    <mergeCell ref="F336:G336"/>
    <mergeCell ref="D336:E336"/>
    <mergeCell ref="D357:E357"/>
    <mergeCell ref="D355:E355"/>
    <mergeCell ref="D349:E349"/>
    <mergeCell ref="F349:G349"/>
    <mergeCell ref="F381:G381"/>
    <mergeCell ref="D382:E382"/>
    <mergeCell ref="F382:G382"/>
    <mergeCell ref="D370:E370"/>
    <mergeCell ref="F374:G374"/>
    <mergeCell ref="D375:E375"/>
    <mergeCell ref="F375:G375"/>
    <mergeCell ref="D376:E376"/>
    <mergeCell ref="F370:G370"/>
    <mergeCell ref="D372:E372"/>
    <mergeCell ref="F372:G372"/>
    <mergeCell ref="D356:E356"/>
    <mergeCell ref="F356:G356"/>
    <mergeCell ref="D352:E352"/>
    <mergeCell ref="D359:E360"/>
    <mergeCell ref="F359:G360"/>
    <mergeCell ref="F355:G355"/>
    <mergeCell ref="F354:G354"/>
    <mergeCell ref="D353:E353"/>
    <mergeCell ref="F367:G367"/>
    <mergeCell ref="B314:C357"/>
    <mergeCell ref="D354:E354"/>
    <mergeCell ref="D347:E347"/>
    <mergeCell ref="F357:G357"/>
    <mergeCell ref="D316:E316"/>
    <mergeCell ref="D317:E317"/>
    <mergeCell ref="D318:E318"/>
    <mergeCell ref="D319:E319"/>
    <mergeCell ref="F333:G333"/>
    <mergeCell ref="D339:E339"/>
    <mergeCell ref="D334:E334"/>
    <mergeCell ref="D321:E321"/>
    <mergeCell ref="D343:E343"/>
    <mergeCell ref="D320:E320"/>
    <mergeCell ref="D322:E322"/>
    <mergeCell ref="D323:E323"/>
    <mergeCell ref="D324:E324"/>
    <mergeCell ref="D328:E328"/>
    <mergeCell ref="D314:E314"/>
    <mergeCell ref="F343:G343"/>
    <mergeCell ref="F328:G328"/>
    <mergeCell ref="F330:G330"/>
    <mergeCell ref="F331:G331"/>
    <mergeCell ref="F315:G315"/>
    <mergeCell ref="B304:C306"/>
    <mergeCell ref="B293:C293"/>
    <mergeCell ref="D293:E293"/>
    <mergeCell ref="B249:C250"/>
    <mergeCell ref="D249:D250"/>
    <mergeCell ref="E250:G250"/>
    <mergeCell ref="B294:C296"/>
    <mergeCell ref="D296:E296"/>
    <mergeCell ref="D295:E295"/>
    <mergeCell ref="D294:E294"/>
    <mergeCell ref="B298:C298"/>
    <mergeCell ref="D298:E298"/>
    <mergeCell ref="B299:C301"/>
    <mergeCell ref="D299:E299"/>
    <mergeCell ref="D300:E300"/>
    <mergeCell ref="D301:E301"/>
    <mergeCell ref="B269:C270"/>
    <mergeCell ref="D269:D270"/>
    <mergeCell ref="B251:C267"/>
    <mergeCell ref="D304:E304"/>
    <mergeCell ref="D305:E305"/>
    <mergeCell ref="D306:E306"/>
    <mergeCell ref="B122:C124"/>
    <mergeCell ref="D122:F122"/>
    <mergeCell ref="B121:C121"/>
    <mergeCell ref="D121:F121"/>
    <mergeCell ref="B185:C201"/>
    <mergeCell ref="B229:C230"/>
    <mergeCell ref="B161:C161"/>
    <mergeCell ref="B160:C160"/>
    <mergeCell ref="B205:C221"/>
    <mergeCell ref="B143:C143"/>
    <mergeCell ref="D143:E143"/>
    <mergeCell ref="D144:E144"/>
    <mergeCell ref="D145:E145"/>
    <mergeCell ref="D146:E146"/>
    <mergeCell ref="D147:E147"/>
    <mergeCell ref="D148:E148"/>
    <mergeCell ref="D149:E149"/>
    <mergeCell ref="B144:C149"/>
    <mergeCell ref="D151:E151"/>
    <mergeCell ref="B152:C157"/>
    <mergeCell ref="D155:E155"/>
    <mergeCell ref="B150:C150"/>
    <mergeCell ref="B203:C204"/>
    <mergeCell ref="B134:K134"/>
    <mergeCell ref="Q184:S184"/>
    <mergeCell ref="Q164:S164"/>
    <mergeCell ref="N164:P164"/>
    <mergeCell ref="N184:P184"/>
    <mergeCell ref="E270:G270"/>
    <mergeCell ref="B271:C287"/>
    <mergeCell ref="B303:C303"/>
    <mergeCell ref="D303:E303"/>
    <mergeCell ref="Q230:S230"/>
    <mergeCell ref="Q250:S250"/>
    <mergeCell ref="H250:J250"/>
    <mergeCell ref="B231:C247"/>
    <mergeCell ref="N230:P230"/>
    <mergeCell ref="D229:D230"/>
    <mergeCell ref="E230:G230"/>
    <mergeCell ref="H230:J230"/>
    <mergeCell ref="K230:M230"/>
    <mergeCell ref="K250:M250"/>
    <mergeCell ref="N250:P250"/>
    <mergeCell ref="B163:C164"/>
    <mergeCell ref="B165:C181"/>
    <mergeCell ref="B183:C184"/>
    <mergeCell ref="E184:G184"/>
    <mergeCell ref="H204:J204"/>
    <mergeCell ref="B15:C15"/>
    <mergeCell ref="B16:C23"/>
    <mergeCell ref="D15:F15"/>
    <mergeCell ref="D23:F23"/>
    <mergeCell ref="D22:F22"/>
    <mergeCell ref="D21:F21"/>
    <mergeCell ref="D20:F20"/>
    <mergeCell ref="D19:F19"/>
    <mergeCell ref="D18:F18"/>
    <mergeCell ref="D17:F17"/>
    <mergeCell ref="D16:F16"/>
    <mergeCell ref="B58:C58"/>
    <mergeCell ref="D58:F58"/>
    <mergeCell ref="B49:C49"/>
    <mergeCell ref="B25:C25"/>
    <mergeCell ref="D25:F25"/>
    <mergeCell ref="B26:C33"/>
    <mergeCell ref="D26:F26"/>
    <mergeCell ref="D27:F27"/>
    <mergeCell ref="D28:F28"/>
    <mergeCell ref="D29:F29"/>
    <mergeCell ref="D30:F30"/>
    <mergeCell ref="D31:F31"/>
    <mergeCell ref="D32:F32"/>
    <mergeCell ref="D33:F33"/>
    <mergeCell ref="B35:C35"/>
    <mergeCell ref="D35:F35"/>
    <mergeCell ref="B36:C43"/>
    <mergeCell ref="D36:F36"/>
    <mergeCell ref="D37:F37"/>
    <mergeCell ref="D38:F38"/>
    <mergeCell ref="D39:F39"/>
    <mergeCell ref="D40:F40"/>
    <mergeCell ref="D41:F41"/>
    <mergeCell ref="B50:C56"/>
    <mergeCell ref="B59:C64"/>
    <mergeCell ref="D59:F59"/>
    <mergeCell ref="D60:F60"/>
    <mergeCell ref="D61:F61"/>
    <mergeCell ref="D62:F62"/>
    <mergeCell ref="D63:F63"/>
    <mergeCell ref="D64:F64"/>
    <mergeCell ref="B78:C78"/>
    <mergeCell ref="D78:F78"/>
    <mergeCell ref="B66:C66"/>
    <mergeCell ref="D66:F66"/>
    <mergeCell ref="B67:C72"/>
    <mergeCell ref="D67:F67"/>
    <mergeCell ref="D68:F68"/>
    <mergeCell ref="D69:F69"/>
    <mergeCell ref="D70:F70"/>
    <mergeCell ref="D71:F71"/>
    <mergeCell ref="D72:F72"/>
    <mergeCell ref="D119:F119"/>
    <mergeCell ref="E164:G164"/>
    <mergeCell ref="H164:J164"/>
    <mergeCell ref="K164:M164"/>
    <mergeCell ref="D163:D164"/>
    <mergeCell ref="D203:D204"/>
    <mergeCell ref="E204:G204"/>
    <mergeCell ref="K184:M184"/>
    <mergeCell ref="D129:F129"/>
    <mergeCell ref="D156:E156"/>
    <mergeCell ref="D157:E157"/>
    <mergeCell ref="D123:F123"/>
    <mergeCell ref="D124:F124"/>
    <mergeCell ref="D135:E135"/>
    <mergeCell ref="D141:E141"/>
    <mergeCell ref="D140:E140"/>
    <mergeCell ref="D138:E138"/>
    <mergeCell ref="D139:E139"/>
    <mergeCell ref="D137:E137"/>
    <mergeCell ref="H184:J184"/>
    <mergeCell ref="D152:E152"/>
    <mergeCell ref="D153:E153"/>
    <mergeCell ref="D154:E154"/>
    <mergeCell ref="D183:D184"/>
    <mergeCell ref="B90:C90"/>
    <mergeCell ref="D90:F90"/>
    <mergeCell ref="B79:C88"/>
    <mergeCell ref="D82:F82"/>
    <mergeCell ref="D81:F81"/>
    <mergeCell ref="D80:F80"/>
    <mergeCell ref="D79:F79"/>
    <mergeCell ref="D86:F86"/>
    <mergeCell ref="B151:C151"/>
    <mergeCell ref="B116:C116"/>
    <mergeCell ref="B117:C119"/>
    <mergeCell ref="B136:C141"/>
    <mergeCell ref="B135:C135"/>
    <mergeCell ref="D136:E136"/>
    <mergeCell ref="D126:F126"/>
    <mergeCell ref="D127:F127"/>
    <mergeCell ref="D128:F128"/>
    <mergeCell ref="B126:C126"/>
    <mergeCell ref="B127:C129"/>
    <mergeCell ref="B91:C99"/>
    <mergeCell ref="D91:F91"/>
    <mergeCell ref="D92:F92"/>
    <mergeCell ref="D93:F93"/>
    <mergeCell ref="D99:F99"/>
    <mergeCell ref="D117:F117"/>
    <mergeCell ref="D118:F118"/>
    <mergeCell ref="D116:F116"/>
    <mergeCell ref="D94:F94"/>
    <mergeCell ref="D95:F95"/>
    <mergeCell ref="D96:F96"/>
    <mergeCell ref="D97:F97"/>
    <mergeCell ref="D98:F98"/>
    <mergeCell ref="B101:C101"/>
    <mergeCell ref="B102:C110"/>
    <mergeCell ref="D108:F108"/>
    <mergeCell ref="D109:F109"/>
    <mergeCell ref="D110:F110"/>
    <mergeCell ref="B115:L115"/>
    <mergeCell ref="H270:J270"/>
    <mergeCell ref="F327:G327"/>
    <mergeCell ref="F347:G347"/>
    <mergeCell ref="K204:M204"/>
    <mergeCell ref="K270:M270"/>
    <mergeCell ref="D326:E326"/>
    <mergeCell ref="D327:E327"/>
    <mergeCell ref="D325:E325"/>
    <mergeCell ref="F319:G319"/>
    <mergeCell ref="D329:E329"/>
    <mergeCell ref="D342:E342"/>
    <mergeCell ref="F342:G342"/>
    <mergeCell ref="D333:E333"/>
    <mergeCell ref="F312:G313"/>
    <mergeCell ref="F314:G314"/>
    <mergeCell ref="F332:G332"/>
    <mergeCell ref="F335:G335"/>
    <mergeCell ref="F337:G337"/>
    <mergeCell ref="F329:G329"/>
    <mergeCell ref="F334:G334"/>
    <mergeCell ref="D338:E338"/>
    <mergeCell ref="D340:E340"/>
    <mergeCell ref="D341:E341"/>
    <mergeCell ref="D344:E344"/>
  </mergeCells>
  <phoneticPr fontId="32" type="noConversion"/>
  <conditionalFormatting sqref="W115">
    <cfRule type="cellIs" dxfId="46" priority="10" operator="between">
      <formula>7</formula>
      <formula>7.99</formula>
    </cfRule>
    <cfRule type="cellIs" dxfId="45" priority="11" operator="between">
      <formula>6</formula>
      <formula>6.99</formula>
    </cfRule>
    <cfRule type="cellIs" dxfId="44" priority="12" operator="between">
      <formula>5</formula>
      <formula>6</formula>
    </cfRule>
  </conditionalFormatting>
  <conditionalFormatting sqref="W131">
    <cfRule type="cellIs" dxfId="43" priority="1" operator="between">
      <formula>7</formula>
      <formula>7.99</formula>
    </cfRule>
    <cfRule type="cellIs" dxfId="42" priority="2" operator="between">
      <formula>6</formula>
      <formula>6.99</formula>
    </cfRule>
    <cfRule type="cellIs" dxfId="41" priority="3" operator="between">
      <formula>5</formula>
      <formula>6</formula>
    </cfRule>
  </conditionalFormatting>
  <hyperlinks>
    <hyperlink ref="I14" r:id="rId1" display="https://universitats.gencat.cat/ca/altres_pagines/informe_i_estadistiques/informes_i_estad_pre/" xr:uid="{00000000-0004-0000-0100-000000000000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B1:N725"/>
  <sheetViews>
    <sheetView zoomScale="80" zoomScaleNormal="80" workbookViewId="0">
      <selection activeCell="P65" sqref="P65"/>
    </sheetView>
  </sheetViews>
  <sheetFormatPr baseColWidth="10" defaultColWidth="11.42578125" defaultRowHeight="15" x14ac:dyDescent="0.25"/>
  <cols>
    <col min="11" max="11" width="20" customWidth="1"/>
  </cols>
  <sheetData>
    <row r="1" spans="2:12" x14ac:dyDescent="0.25">
      <c r="C1" s="34"/>
      <c r="D1" s="35"/>
    </row>
    <row r="2" spans="2:12" x14ac:dyDescent="0.25">
      <c r="C2" s="34"/>
      <c r="D2" s="35"/>
    </row>
    <row r="3" spans="2:12" ht="15.75" x14ac:dyDescent="0.25">
      <c r="B3" s="32"/>
      <c r="C3" s="34"/>
      <c r="D3" s="35"/>
    </row>
    <row r="4" spans="2:12" ht="15.75" x14ac:dyDescent="0.25">
      <c r="B4" s="32"/>
      <c r="C4" s="34"/>
      <c r="D4" s="35"/>
    </row>
    <row r="5" spans="2:12" ht="15.75" x14ac:dyDescent="0.25">
      <c r="B5" s="32"/>
      <c r="C5" s="34"/>
      <c r="D5" s="35"/>
    </row>
    <row r="6" spans="2:12" ht="15.75" x14ac:dyDescent="0.25">
      <c r="B6" s="32"/>
      <c r="C6" s="34"/>
      <c r="D6" s="35"/>
    </row>
    <row r="7" spans="2:12" ht="18" x14ac:dyDescent="0.25">
      <c r="B7" s="1" t="s">
        <v>0</v>
      </c>
      <c r="C7" s="34"/>
      <c r="D7" s="35"/>
    </row>
    <row r="8" spans="2:12" x14ac:dyDescent="0.25">
      <c r="C8" s="34"/>
      <c r="D8" s="35"/>
    </row>
    <row r="9" spans="2:12" ht="18" x14ac:dyDescent="0.25">
      <c r="B9" s="1" t="s">
        <v>642</v>
      </c>
      <c r="C9" s="34"/>
      <c r="D9" s="35"/>
    </row>
    <row r="10" spans="2:12" ht="18" x14ac:dyDescent="0.25">
      <c r="B10" s="1"/>
      <c r="C10" s="34"/>
      <c r="D10" s="35"/>
    </row>
    <row r="11" spans="2:12" ht="15.75" x14ac:dyDescent="0.25">
      <c r="B11" s="32"/>
      <c r="C11" s="34"/>
      <c r="D11" s="35"/>
    </row>
    <row r="12" spans="2:12" x14ac:dyDescent="0.25">
      <c r="B12" s="660" t="s">
        <v>794</v>
      </c>
      <c r="C12" s="660"/>
      <c r="D12" s="660"/>
      <c r="E12" s="660"/>
      <c r="F12" s="660"/>
      <c r="G12" s="660"/>
      <c r="H12" s="660"/>
      <c r="I12" s="660"/>
      <c r="J12" s="660"/>
      <c r="K12" s="660"/>
      <c r="L12" s="204"/>
    </row>
    <row r="13" spans="2:12" ht="21" customHeight="1" x14ac:dyDescent="0.25">
      <c r="B13" s="771" t="s">
        <v>131</v>
      </c>
      <c r="C13" s="771"/>
      <c r="D13" s="771" t="s">
        <v>132</v>
      </c>
      <c r="E13" s="771"/>
      <c r="F13" s="771"/>
      <c r="G13" s="771" t="s">
        <v>133</v>
      </c>
      <c r="H13" s="771"/>
      <c r="I13" s="771"/>
      <c r="J13" s="771"/>
      <c r="K13" s="771"/>
    </row>
    <row r="14" spans="2:12" ht="15" customHeight="1" x14ac:dyDescent="0.25">
      <c r="B14" s="839" t="s">
        <v>134</v>
      </c>
      <c r="C14" s="840"/>
      <c r="D14" s="843" t="s">
        <v>833</v>
      </c>
      <c r="E14" s="844"/>
      <c r="F14" s="844"/>
      <c r="G14" s="848" t="s">
        <v>1894</v>
      </c>
      <c r="H14" s="849"/>
      <c r="I14" s="849"/>
      <c r="J14" s="849"/>
      <c r="K14" s="850"/>
      <c r="L14" s="161"/>
    </row>
    <row r="15" spans="2:12" x14ac:dyDescent="0.25">
      <c r="B15" s="835"/>
      <c r="C15" s="836"/>
      <c r="D15" s="843" t="s">
        <v>834</v>
      </c>
      <c r="E15" s="844"/>
      <c r="F15" s="844"/>
      <c r="G15" s="851"/>
      <c r="H15" s="852"/>
      <c r="I15" s="852"/>
      <c r="J15" s="852"/>
      <c r="K15" s="853"/>
      <c r="L15" s="161"/>
    </row>
    <row r="16" spans="2:12" ht="15" customHeight="1" x14ac:dyDescent="0.25">
      <c r="B16" s="835"/>
      <c r="C16" s="836"/>
      <c r="D16" s="843" t="s">
        <v>835</v>
      </c>
      <c r="E16" s="844"/>
      <c r="F16" s="844"/>
      <c r="G16" s="851"/>
      <c r="H16" s="852"/>
      <c r="I16" s="852"/>
      <c r="J16" s="852"/>
      <c r="K16" s="853"/>
      <c r="L16" s="161"/>
    </row>
    <row r="17" spans="2:12" ht="35.25" customHeight="1" x14ac:dyDescent="0.25">
      <c r="B17" s="835"/>
      <c r="C17" s="836"/>
      <c r="D17" s="843" t="s">
        <v>135</v>
      </c>
      <c r="E17" s="844"/>
      <c r="F17" s="844"/>
      <c r="G17" s="851"/>
      <c r="H17" s="852"/>
      <c r="I17" s="852"/>
      <c r="J17" s="852"/>
      <c r="K17" s="853"/>
      <c r="L17" s="161"/>
    </row>
    <row r="18" spans="2:12" ht="62.25" customHeight="1" x14ac:dyDescent="0.25">
      <c r="B18" s="835"/>
      <c r="C18" s="836"/>
      <c r="D18" s="843" t="s">
        <v>836</v>
      </c>
      <c r="E18" s="844"/>
      <c r="F18" s="844"/>
      <c r="G18" s="851"/>
      <c r="H18" s="852"/>
      <c r="I18" s="852"/>
      <c r="J18" s="852"/>
      <c r="K18" s="853"/>
      <c r="L18" s="161"/>
    </row>
    <row r="19" spans="2:12" ht="15" customHeight="1" x14ac:dyDescent="0.25">
      <c r="B19" s="835"/>
      <c r="C19" s="836"/>
      <c r="D19" s="843" t="s">
        <v>869</v>
      </c>
      <c r="E19" s="844"/>
      <c r="F19" s="844"/>
      <c r="G19" s="851"/>
      <c r="H19" s="852"/>
      <c r="I19" s="852"/>
      <c r="J19" s="852"/>
      <c r="K19" s="853"/>
      <c r="L19" s="161"/>
    </row>
    <row r="20" spans="2:12" ht="21" customHeight="1" x14ac:dyDescent="0.25">
      <c r="B20" s="835"/>
      <c r="C20" s="836"/>
      <c r="D20" s="843" t="s">
        <v>136</v>
      </c>
      <c r="E20" s="844"/>
      <c r="F20" s="844"/>
      <c r="G20" s="851"/>
      <c r="H20" s="852"/>
      <c r="I20" s="852"/>
      <c r="J20" s="852"/>
      <c r="K20" s="853"/>
      <c r="L20" s="161"/>
    </row>
    <row r="21" spans="2:12" ht="21" customHeight="1" x14ac:dyDescent="0.25">
      <c r="B21" s="835"/>
      <c r="C21" s="836"/>
      <c r="D21" s="843" t="s">
        <v>137</v>
      </c>
      <c r="E21" s="844"/>
      <c r="F21" s="844"/>
      <c r="G21" s="851"/>
      <c r="H21" s="852"/>
      <c r="I21" s="852"/>
      <c r="J21" s="852"/>
      <c r="K21" s="853"/>
      <c r="L21" s="161"/>
    </row>
    <row r="22" spans="2:12" x14ac:dyDescent="0.25">
      <c r="B22" s="835"/>
      <c r="C22" s="836"/>
      <c r="D22" s="843" t="s">
        <v>138</v>
      </c>
      <c r="E22" s="844"/>
      <c r="F22" s="844"/>
      <c r="G22" s="851"/>
      <c r="H22" s="852"/>
      <c r="I22" s="852"/>
      <c r="J22" s="852"/>
      <c r="K22" s="853"/>
      <c r="L22" s="161"/>
    </row>
    <row r="23" spans="2:12" ht="21" customHeight="1" x14ac:dyDescent="0.25">
      <c r="B23" s="835"/>
      <c r="C23" s="836"/>
      <c r="D23" s="843" t="s">
        <v>139</v>
      </c>
      <c r="E23" s="844"/>
      <c r="F23" s="844"/>
      <c r="G23" s="851"/>
      <c r="H23" s="852"/>
      <c r="I23" s="852"/>
      <c r="J23" s="852"/>
      <c r="K23" s="853"/>
      <c r="L23" s="161"/>
    </row>
    <row r="24" spans="2:12" x14ac:dyDescent="0.25">
      <c r="B24" s="835"/>
      <c r="C24" s="836"/>
      <c r="D24" s="843" t="s">
        <v>837</v>
      </c>
      <c r="E24" s="844"/>
      <c r="F24" s="844"/>
      <c r="G24" s="851"/>
      <c r="H24" s="852"/>
      <c r="I24" s="852"/>
      <c r="J24" s="852"/>
      <c r="K24" s="853"/>
      <c r="L24" s="161"/>
    </row>
    <row r="25" spans="2:12" ht="21" customHeight="1" x14ac:dyDescent="0.25">
      <c r="B25" s="835"/>
      <c r="C25" s="836"/>
      <c r="D25" s="843" t="s">
        <v>140</v>
      </c>
      <c r="E25" s="844"/>
      <c r="F25" s="844"/>
      <c r="G25" s="851"/>
      <c r="H25" s="852"/>
      <c r="I25" s="852"/>
      <c r="J25" s="852"/>
      <c r="K25" s="853"/>
      <c r="L25" s="161"/>
    </row>
    <row r="26" spans="2:12" ht="21" customHeight="1" thickBot="1" x14ac:dyDescent="0.3">
      <c r="B26" s="841"/>
      <c r="C26" s="842"/>
      <c r="D26" s="845" t="s">
        <v>141</v>
      </c>
      <c r="E26" s="846"/>
      <c r="F26" s="847"/>
      <c r="G26" s="854"/>
      <c r="H26" s="855"/>
      <c r="I26" s="855"/>
      <c r="J26" s="855"/>
      <c r="K26" s="856"/>
      <c r="L26" s="161"/>
    </row>
    <row r="27" spans="2:12" ht="15" customHeight="1" x14ac:dyDescent="0.25">
      <c r="B27" s="833" t="s">
        <v>142</v>
      </c>
      <c r="C27" s="834"/>
      <c r="D27" s="843" t="s">
        <v>143</v>
      </c>
      <c r="E27" s="844"/>
      <c r="F27" s="844"/>
      <c r="G27" s="857" t="s">
        <v>1223</v>
      </c>
      <c r="H27" s="858"/>
      <c r="I27" s="858"/>
      <c r="J27" s="858"/>
      <c r="K27" s="859"/>
      <c r="L27" s="528"/>
    </row>
    <row r="28" spans="2:12" x14ac:dyDescent="0.25">
      <c r="B28" s="835"/>
      <c r="C28" s="836"/>
      <c r="D28" s="843" t="s">
        <v>144</v>
      </c>
      <c r="E28" s="844"/>
      <c r="F28" s="844"/>
      <c r="G28" s="851"/>
      <c r="H28" s="852"/>
      <c r="I28" s="852"/>
      <c r="J28" s="852"/>
      <c r="K28" s="853"/>
      <c r="L28" s="528"/>
    </row>
    <row r="29" spans="2:12" ht="15" customHeight="1" x14ac:dyDescent="0.25">
      <c r="B29" s="835"/>
      <c r="C29" s="836"/>
      <c r="D29" s="843" t="s">
        <v>145</v>
      </c>
      <c r="E29" s="844"/>
      <c r="F29" s="844"/>
      <c r="G29" s="851"/>
      <c r="H29" s="852"/>
      <c r="I29" s="852"/>
      <c r="J29" s="852"/>
      <c r="K29" s="853"/>
      <c r="L29" s="528"/>
    </row>
    <row r="30" spans="2:12" x14ac:dyDescent="0.25">
      <c r="B30" s="835"/>
      <c r="C30" s="836"/>
      <c r="D30" s="843" t="s">
        <v>146</v>
      </c>
      <c r="E30" s="844"/>
      <c r="F30" s="844"/>
      <c r="G30" s="851"/>
      <c r="H30" s="852"/>
      <c r="I30" s="852"/>
      <c r="J30" s="852"/>
      <c r="K30" s="853"/>
      <c r="L30" s="528"/>
    </row>
    <row r="31" spans="2:12" x14ac:dyDescent="0.25">
      <c r="B31" s="835"/>
      <c r="C31" s="836"/>
      <c r="D31" s="843" t="s">
        <v>147</v>
      </c>
      <c r="E31" s="844"/>
      <c r="F31" s="844"/>
      <c r="G31" s="851"/>
      <c r="H31" s="852"/>
      <c r="I31" s="852"/>
      <c r="J31" s="852"/>
      <c r="K31" s="853"/>
      <c r="L31" s="528"/>
    </row>
    <row r="32" spans="2:12" x14ac:dyDescent="0.25">
      <c r="B32" s="835"/>
      <c r="C32" s="836"/>
      <c r="D32" s="843" t="s">
        <v>148</v>
      </c>
      <c r="E32" s="844"/>
      <c r="F32" s="844"/>
      <c r="G32" s="851"/>
      <c r="H32" s="852"/>
      <c r="I32" s="852"/>
      <c r="J32" s="852"/>
      <c r="K32" s="853"/>
      <c r="L32" s="528"/>
    </row>
    <row r="33" spans="2:12" ht="26.25" customHeight="1" thickBot="1" x14ac:dyDescent="0.3">
      <c r="B33" s="841"/>
      <c r="C33" s="842"/>
      <c r="D33" s="845" t="s">
        <v>838</v>
      </c>
      <c r="E33" s="846"/>
      <c r="F33" s="847"/>
      <c r="G33" s="854"/>
      <c r="H33" s="855"/>
      <c r="I33" s="855"/>
      <c r="J33" s="855"/>
      <c r="K33" s="856"/>
      <c r="L33" s="528"/>
    </row>
    <row r="34" spans="2:12" ht="16.5" customHeight="1" x14ac:dyDescent="0.25">
      <c r="B34" s="833" t="s">
        <v>839</v>
      </c>
      <c r="C34" s="834"/>
      <c r="D34" s="843" t="s">
        <v>840</v>
      </c>
      <c r="E34" s="844"/>
      <c r="F34" s="844"/>
      <c r="G34" s="857" t="s">
        <v>886</v>
      </c>
      <c r="H34" s="858"/>
      <c r="I34" s="858"/>
      <c r="J34" s="858"/>
      <c r="K34" s="859"/>
    </row>
    <row r="35" spans="2:12" x14ac:dyDescent="0.25">
      <c r="B35" s="835"/>
      <c r="C35" s="836"/>
      <c r="D35" s="843" t="s">
        <v>841</v>
      </c>
      <c r="E35" s="844"/>
      <c r="F35" s="844"/>
      <c r="G35" s="851"/>
      <c r="H35" s="852"/>
      <c r="I35" s="852"/>
      <c r="J35" s="852"/>
      <c r="K35" s="853"/>
    </row>
    <row r="36" spans="2:12" ht="18.75" customHeight="1" thickBot="1" x14ac:dyDescent="0.3">
      <c r="B36" s="841"/>
      <c r="C36" s="842"/>
      <c r="D36" s="845" t="s">
        <v>842</v>
      </c>
      <c r="E36" s="846"/>
      <c r="F36" s="847"/>
      <c r="G36" s="851"/>
      <c r="H36" s="852"/>
      <c r="I36" s="852"/>
      <c r="J36" s="852"/>
      <c r="K36" s="853"/>
    </row>
    <row r="37" spans="2:12" ht="15" customHeight="1" x14ac:dyDescent="0.25">
      <c r="B37" s="833" t="s">
        <v>149</v>
      </c>
      <c r="C37" s="834"/>
      <c r="D37" s="843" t="s">
        <v>150</v>
      </c>
      <c r="E37" s="844"/>
      <c r="F37" s="844"/>
      <c r="G37" s="857" t="s">
        <v>1895</v>
      </c>
      <c r="H37" s="858"/>
      <c r="I37" s="858"/>
      <c r="J37" s="858"/>
      <c r="K37" s="859"/>
    </row>
    <row r="38" spans="2:12" ht="22.5" customHeight="1" x14ac:dyDescent="0.25">
      <c r="B38" s="835"/>
      <c r="C38" s="836"/>
      <c r="D38" s="843" t="s">
        <v>151</v>
      </c>
      <c r="E38" s="844"/>
      <c r="F38" s="844"/>
      <c r="G38" s="851"/>
      <c r="H38" s="852"/>
      <c r="I38" s="852"/>
      <c r="J38" s="852"/>
      <c r="K38" s="853"/>
    </row>
    <row r="39" spans="2:12" x14ac:dyDescent="0.25">
      <c r="B39" s="835"/>
      <c r="C39" s="836"/>
      <c r="D39" s="843" t="s">
        <v>843</v>
      </c>
      <c r="E39" s="844"/>
      <c r="F39" s="844"/>
      <c r="G39" s="851"/>
      <c r="H39" s="852"/>
      <c r="I39" s="852"/>
      <c r="J39" s="852"/>
      <c r="K39" s="853"/>
    </row>
    <row r="40" spans="2:12" x14ac:dyDescent="0.25">
      <c r="B40" s="835"/>
      <c r="C40" s="836"/>
      <c r="D40" s="843" t="s">
        <v>844</v>
      </c>
      <c r="E40" s="844"/>
      <c r="F40" s="844"/>
      <c r="G40" s="851"/>
      <c r="H40" s="852"/>
      <c r="I40" s="852"/>
      <c r="J40" s="852"/>
      <c r="K40" s="853"/>
    </row>
    <row r="41" spans="2:12" x14ac:dyDescent="0.25">
      <c r="B41" s="835"/>
      <c r="C41" s="836"/>
      <c r="D41" s="843" t="s">
        <v>845</v>
      </c>
      <c r="E41" s="844"/>
      <c r="F41" s="844"/>
      <c r="G41" s="851"/>
      <c r="H41" s="852"/>
      <c r="I41" s="852"/>
      <c r="J41" s="852"/>
      <c r="K41" s="853"/>
    </row>
    <row r="42" spans="2:12" x14ac:dyDescent="0.25">
      <c r="B42" s="835"/>
      <c r="C42" s="836"/>
      <c r="D42" s="843" t="s">
        <v>846</v>
      </c>
      <c r="E42" s="844"/>
      <c r="F42" s="844"/>
      <c r="G42" s="851"/>
      <c r="H42" s="852"/>
      <c r="I42" s="852"/>
      <c r="J42" s="852"/>
      <c r="K42" s="853"/>
    </row>
    <row r="43" spans="2:12" x14ac:dyDescent="0.25">
      <c r="B43" s="835"/>
      <c r="C43" s="836"/>
      <c r="D43" s="843" t="s">
        <v>847</v>
      </c>
      <c r="E43" s="844"/>
      <c r="F43" s="844"/>
      <c r="G43" s="851"/>
      <c r="H43" s="852"/>
      <c r="I43" s="852"/>
      <c r="J43" s="852"/>
      <c r="K43" s="853"/>
    </row>
    <row r="44" spans="2:12" x14ac:dyDescent="0.25">
      <c r="B44" s="835"/>
      <c r="C44" s="836"/>
      <c r="D44" s="843" t="s">
        <v>848</v>
      </c>
      <c r="E44" s="844"/>
      <c r="F44" s="844"/>
      <c r="G44" s="851"/>
      <c r="H44" s="852"/>
      <c r="I44" s="852"/>
      <c r="J44" s="852"/>
      <c r="K44" s="853"/>
    </row>
    <row r="45" spans="2:12" x14ac:dyDescent="0.25">
      <c r="B45" s="835"/>
      <c r="C45" s="836"/>
      <c r="D45" s="843" t="s">
        <v>849</v>
      </c>
      <c r="E45" s="844"/>
      <c r="F45" s="844"/>
      <c r="G45" s="851"/>
      <c r="H45" s="852"/>
      <c r="I45" s="852"/>
      <c r="J45" s="852"/>
      <c r="K45" s="853"/>
    </row>
    <row r="46" spans="2:12" x14ac:dyDescent="0.25">
      <c r="B46" s="835"/>
      <c r="C46" s="836"/>
      <c r="D46" s="843" t="s">
        <v>850</v>
      </c>
      <c r="E46" s="844"/>
      <c r="F46" s="844"/>
      <c r="G46" s="851"/>
      <c r="H46" s="852"/>
      <c r="I46" s="852"/>
      <c r="J46" s="852"/>
      <c r="K46" s="853"/>
    </row>
    <row r="47" spans="2:12" x14ac:dyDescent="0.25">
      <c r="B47" s="835"/>
      <c r="C47" s="836"/>
      <c r="D47" s="843" t="s">
        <v>851</v>
      </c>
      <c r="E47" s="844"/>
      <c r="F47" s="844"/>
      <c r="G47" s="851"/>
      <c r="H47" s="852"/>
      <c r="I47" s="852"/>
      <c r="J47" s="852"/>
      <c r="K47" s="853"/>
    </row>
    <row r="48" spans="2:12" x14ac:dyDescent="0.25">
      <c r="B48" s="835"/>
      <c r="C48" s="836"/>
      <c r="D48" s="843" t="s">
        <v>152</v>
      </c>
      <c r="E48" s="844"/>
      <c r="F48" s="844"/>
      <c r="G48" s="851"/>
      <c r="H48" s="852"/>
      <c r="I48" s="852"/>
      <c r="J48" s="852"/>
      <c r="K48" s="853"/>
    </row>
    <row r="49" spans="2:11" x14ac:dyDescent="0.25">
      <c r="B49" s="835"/>
      <c r="C49" s="836"/>
      <c r="D49" s="843" t="s">
        <v>153</v>
      </c>
      <c r="E49" s="844"/>
      <c r="F49" s="844"/>
      <c r="G49" s="851"/>
      <c r="H49" s="852"/>
      <c r="I49" s="852"/>
      <c r="J49" s="852"/>
      <c r="K49" s="853"/>
    </row>
    <row r="50" spans="2:11" ht="15.75" thickBot="1" x14ac:dyDescent="0.3">
      <c r="B50" s="841"/>
      <c r="C50" s="842"/>
      <c r="D50" s="845" t="s">
        <v>154</v>
      </c>
      <c r="E50" s="846"/>
      <c r="F50" s="847"/>
      <c r="G50" s="854"/>
      <c r="H50" s="855"/>
      <c r="I50" s="855"/>
      <c r="J50" s="855"/>
      <c r="K50" s="856"/>
    </row>
    <row r="51" spans="2:11" ht="18.75" customHeight="1" x14ac:dyDescent="0.25">
      <c r="B51" s="833" t="s">
        <v>155</v>
      </c>
      <c r="C51" s="834"/>
      <c r="D51" s="843" t="s">
        <v>852</v>
      </c>
      <c r="E51" s="844"/>
      <c r="F51" s="844"/>
      <c r="G51" s="857" t="s">
        <v>871</v>
      </c>
      <c r="H51" s="858"/>
      <c r="I51" s="858"/>
      <c r="J51" s="858"/>
      <c r="K51" s="859"/>
    </row>
    <row r="52" spans="2:11" ht="18.75" customHeight="1" x14ac:dyDescent="0.25">
      <c r="B52" s="835"/>
      <c r="C52" s="836"/>
      <c r="D52" s="843" t="s">
        <v>853</v>
      </c>
      <c r="E52" s="844"/>
      <c r="F52" s="844"/>
      <c r="G52" s="851"/>
      <c r="H52" s="852"/>
      <c r="I52" s="852"/>
      <c r="J52" s="852"/>
      <c r="K52" s="853"/>
    </row>
    <row r="53" spans="2:11" ht="17.25" customHeight="1" thickBot="1" x14ac:dyDescent="0.3">
      <c r="B53" s="841"/>
      <c r="C53" s="842"/>
      <c r="D53" s="845" t="s">
        <v>854</v>
      </c>
      <c r="E53" s="846"/>
      <c r="F53" s="847"/>
      <c r="G53" s="854"/>
      <c r="H53" s="855"/>
      <c r="I53" s="855"/>
      <c r="J53" s="855"/>
      <c r="K53" s="856"/>
    </row>
    <row r="54" spans="2:11" ht="15" customHeight="1" x14ac:dyDescent="0.25">
      <c r="B54" s="833" t="s">
        <v>156</v>
      </c>
      <c r="C54" s="834"/>
      <c r="D54" s="843" t="s">
        <v>138</v>
      </c>
      <c r="E54" s="844"/>
      <c r="F54" s="844"/>
      <c r="G54" s="860" t="s">
        <v>1220</v>
      </c>
      <c r="H54" s="861"/>
      <c r="I54" s="861"/>
      <c r="J54" s="861"/>
      <c r="K54" s="862"/>
    </row>
    <row r="55" spans="2:11" x14ac:dyDescent="0.25">
      <c r="B55" s="835"/>
      <c r="C55" s="836"/>
      <c r="D55" s="843" t="s">
        <v>855</v>
      </c>
      <c r="E55" s="844"/>
      <c r="F55" s="844"/>
      <c r="G55" s="863"/>
      <c r="H55" s="864"/>
      <c r="I55" s="864"/>
      <c r="J55" s="864"/>
      <c r="K55" s="865"/>
    </row>
    <row r="56" spans="2:11" x14ac:dyDescent="0.25">
      <c r="B56" s="835"/>
      <c r="C56" s="836"/>
      <c r="D56" s="843" t="s">
        <v>856</v>
      </c>
      <c r="E56" s="844"/>
      <c r="F56" s="844"/>
      <c r="G56" s="863"/>
      <c r="H56" s="864"/>
      <c r="I56" s="864"/>
      <c r="J56" s="864"/>
      <c r="K56" s="865"/>
    </row>
    <row r="57" spans="2:11" x14ac:dyDescent="0.25">
      <c r="B57" s="835"/>
      <c r="C57" s="836"/>
      <c r="D57" s="843" t="s">
        <v>857</v>
      </c>
      <c r="E57" s="844"/>
      <c r="F57" s="844"/>
      <c r="G57" s="863"/>
      <c r="H57" s="864"/>
      <c r="I57" s="864"/>
      <c r="J57" s="864"/>
      <c r="K57" s="865"/>
    </row>
    <row r="58" spans="2:11" ht="26.25" customHeight="1" thickBot="1" x14ac:dyDescent="0.3">
      <c r="B58" s="841"/>
      <c r="C58" s="842"/>
      <c r="D58" s="845" t="s">
        <v>858</v>
      </c>
      <c r="E58" s="846"/>
      <c r="F58" s="847"/>
      <c r="G58" s="866"/>
      <c r="H58" s="867"/>
      <c r="I58" s="867"/>
      <c r="J58" s="867"/>
      <c r="K58" s="868"/>
    </row>
    <row r="59" spans="2:11" x14ac:dyDescent="0.25">
      <c r="B59" s="833" t="s">
        <v>157</v>
      </c>
      <c r="C59" s="834"/>
      <c r="D59" s="843" t="s">
        <v>859</v>
      </c>
      <c r="E59" s="844"/>
      <c r="F59" s="844"/>
      <c r="G59" s="857" t="s">
        <v>1221</v>
      </c>
      <c r="H59" s="858"/>
      <c r="I59" s="858"/>
      <c r="J59" s="858"/>
      <c r="K59" s="859"/>
    </row>
    <row r="60" spans="2:11" ht="22.5" customHeight="1" x14ac:dyDescent="0.25">
      <c r="B60" s="835"/>
      <c r="C60" s="836"/>
      <c r="D60" s="843" t="s">
        <v>860</v>
      </c>
      <c r="E60" s="844"/>
      <c r="F60" s="844"/>
      <c r="G60" s="851"/>
      <c r="H60" s="852"/>
      <c r="I60" s="852"/>
      <c r="J60" s="852"/>
      <c r="K60" s="853"/>
    </row>
    <row r="61" spans="2:11" x14ac:dyDescent="0.25">
      <c r="B61" s="835"/>
      <c r="C61" s="836"/>
      <c r="D61" s="843" t="s">
        <v>861</v>
      </c>
      <c r="E61" s="844"/>
      <c r="F61" s="844"/>
      <c r="G61" s="851"/>
      <c r="H61" s="852"/>
      <c r="I61" s="852"/>
      <c r="J61" s="852"/>
      <c r="K61" s="853"/>
    </row>
    <row r="62" spans="2:11" x14ac:dyDescent="0.25">
      <c r="B62" s="835"/>
      <c r="C62" s="836"/>
      <c r="D62" s="843" t="s">
        <v>138</v>
      </c>
      <c r="E62" s="844"/>
      <c r="F62" s="844"/>
      <c r="G62" s="851"/>
      <c r="H62" s="852"/>
      <c r="I62" s="852"/>
      <c r="J62" s="852"/>
      <c r="K62" s="853"/>
    </row>
    <row r="63" spans="2:11" x14ac:dyDescent="0.25">
      <c r="B63" s="835"/>
      <c r="C63" s="836"/>
      <c r="D63" s="843" t="s">
        <v>862</v>
      </c>
      <c r="E63" s="844"/>
      <c r="F63" s="844"/>
      <c r="G63" s="851"/>
      <c r="H63" s="852"/>
      <c r="I63" s="852"/>
      <c r="J63" s="852"/>
      <c r="K63" s="853"/>
    </row>
    <row r="64" spans="2:11" ht="15.75" thickBot="1" x14ac:dyDescent="0.3">
      <c r="B64" s="841"/>
      <c r="C64" s="842"/>
      <c r="D64" s="845" t="s">
        <v>863</v>
      </c>
      <c r="E64" s="846"/>
      <c r="F64" s="847"/>
      <c r="G64" s="854"/>
      <c r="H64" s="855"/>
      <c r="I64" s="855"/>
      <c r="J64" s="855"/>
      <c r="K64" s="856"/>
    </row>
    <row r="65" spans="2:12" ht="42.75" customHeight="1" x14ac:dyDescent="0.25">
      <c r="B65" s="833" t="s">
        <v>158</v>
      </c>
      <c r="C65" s="834"/>
      <c r="D65" s="843" t="s">
        <v>864</v>
      </c>
      <c r="E65" s="844"/>
      <c r="F65" s="844"/>
      <c r="G65" s="857" t="s">
        <v>1222</v>
      </c>
      <c r="H65" s="858"/>
      <c r="I65" s="858"/>
      <c r="J65" s="858"/>
      <c r="K65" s="859"/>
    </row>
    <row r="66" spans="2:12" ht="42" customHeight="1" thickBot="1" x14ac:dyDescent="0.3">
      <c r="B66" s="841"/>
      <c r="C66" s="842"/>
      <c r="D66" s="845" t="s">
        <v>865</v>
      </c>
      <c r="E66" s="846"/>
      <c r="F66" s="847"/>
      <c r="G66" s="854"/>
      <c r="H66" s="855"/>
      <c r="I66" s="855"/>
      <c r="J66" s="855"/>
      <c r="K66" s="856"/>
    </row>
    <row r="67" spans="2:12" ht="15.75" customHeight="1" x14ac:dyDescent="0.25">
      <c r="B67" s="833" t="s">
        <v>159</v>
      </c>
      <c r="C67" s="834"/>
      <c r="D67" s="843" t="s">
        <v>866</v>
      </c>
      <c r="E67" s="844"/>
      <c r="F67" s="844"/>
      <c r="G67" s="857" t="s">
        <v>1896</v>
      </c>
      <c r="H67" s="858"/>
      <c r="I67" s="858"/>
      <c r="J67" s="858"/>
      <c r="K67" s="859"/>
      <c r="L67" s="396"/>
    </row>
    <row r="68" spans="2:12" ht="15.75" customHeight="1" x14ac:dyDescent="0.25">
      <c r="B68" s="835"/>
      <c r="C68" s="836"/>
      <c r="D68" s="843" t="s">
        <v>867</v>
      </c>
      <c r="E68" s="844"/>
      <c r="F68" s="844"/>
      <c r="G68" s="851"/>
      <c r="H68" s="852"/>
      <c r="I68" s="852"/>
      <c r="J68" s="852"/>
      <c r="K68" s="853"/>
    </row>
    <row r="69" spans="2:12" x14ac:dyDescent="0.25">
      <c r="B69" s="835"/>
      <c r="C69" s="836"/>
      <c r="D69" s="843" t="s">
        <v>160</v>
      </c>
      <c r="E69" s="844"/>
      <c r="F69" s="844"/>
      <c r="G69" s="851"/>
      <c r="H69" s="852"/>
      <c r="I69" s="852"/>
      <c r="J69" s="852"/>
      <c r="K69" s="853"/>
    </row>
    <row r="70" spans="2:12" x14ac:dyDescent="0.25">
      <c r="B70" s="835"/>
      <c r="C70" s="836"/>
      <c r="D70" s="843" t="s">
        <v>161</v>
      </c>
      <c r="E70" s="844"/>
      <c r="F70" s="844"/>
      <c r="G70" s="851"/>
      <c r="H70" s="852"/>
      <c r="I70" s="852"/>
      <c r="J70" s="852"/>
      <c r="K70" s="853"/>
    </row>
    <row r="71" spans="2:12" ht="23.25" customHeight="1" x14ac:dyDescent="0.25">
      <c r="B71" s="835"/>
      <c r="C71" s="836"/>
      <c r="D71" s="843" t="s">
        <v>162</v>
      </c>
      <c r="E71" s="844"/>
      <c r="F71" s="844"/>
      <c r="G71" s="851"/>
      <c r="H71" s="852"/>
      <c r="I71" s="852"/>
      <c r="J71" s="852"/>
      <c r="K71" s="853"/>
    </row>
    <row r="72" spans="2:12" x14ac:dyDescent="0.25">
      <c r="B72" s="835"/>
      <c r="C72" s="836"/>
      <c r="D72" s="843" t="s">
        <v>868</v>
      </c>
      <c r="E72" s="844"/>
      <c r="F72" s="844"/>
      <c r="G72" s="851"/>
      <c r="H72" s="852"/>
      <c r="I72" s="852"/>
      <c r="J72" s="852"/>
      <c r="K72" s="853"/>
    </row>
    <row r="73" spans="2:12" x14ac:dyDescent="0.25">
      <c r="B73" s="835"/>
      <c r="C73" s="836"/>
      <c r="D73" s="843" t="s">
        <v>870</v>
      </c>
      <c r="E73" s="844"/>
      <c r="F73" s="844"/>
      <c r="G73" s="851"/>
      <c r="H73" s="852"/>
      <c r="I73" s="852"/>
      <c r="J73" s="852"/>
      <c r="K73" s="853"/>
    </row>
    <row r="74" spans="2:12" x14ac:dyDescent="0.25">
      <c r="B74" s="835"/>
      <c r="C74" s="836"/>
      <c r="D74" s="843" t="s">
        <v>163</v>
      </c>
      <c r="E74" s="844"/>
      <c r="F74" s="844"/>
      <c r="G74" s="851"/>
      <c r="H74" s="852"/>
      <c r="I74" s="852"/>
      <c r="J74" s="852"/>
      <c r="K74" s="853"/>
    </row>
    <row r="75" spans="2:12" ht="15.75" thickBot="1" x14ac:dyDescent="0.3">
      <c r="B75" s="837"/>
      <c r="C75" s="838"/>
      <c r="D75" s="872" t="s">
        <v>164</v>
      </c>
      <c r="E75" s="873"/>
      <c r="F75" s="874"/>
      <c r="G75" s="869"/>
      <c r="H75" s="870"/>
      <c r="I75" s="870"/>
      <c r="J75" s="870"/>
      <c r="K75" s="871"/>
    </row>
    <row r="76" spans="2:12" x14ac:dyDescent="0.25">
      <c r="B76" s="44"/>
      <c r="C76" s="33"/>
      <c r="D76" s="33"/>
    </row>
    <row r="77" spans="2:12" x14ac:dyDescent="0.25">
      <c r="B77" s="44"/>
      <c r="C77" s="33"/>
      <c r="D77" s="33"/>
    </row>
    <row r="557" spans="2:7" x14ac:dyDescent="0.25">
      <c r="B557" s="875"/>
      <c r="C557" s="875"/>
      <c r="D557" s="875"/>
      <c r="E557" s="875"/>
      <c r="F557" s="875"/>
      <c r="G557" s="875"/>
    </row>
    <row r="558" spans="2:7" x14ac:dyDescent="0.25">
      <c r="B558" s="248"/>
      <c r="C558" s="248"/>
      <c r="D558" s="248"/>
      <c r="E558" s="249"/>
      <c r="F558" s="249"/>
      <c r="G558" s="249"/>
    </row>
    <row r="565" spans="2:4" ht="28.5" customHeight="1" x14ac:dyDescent="0.25"/>
    <row r="568" spans="2:4" ht="15.75" thickBot="1" x14ac:dyDescent="0.3">
      <c r="B568" s="246"/>
      <c r="C568" s="246"/>
      <c r="D568" s="246"/>
    </row>
    <row r="569" spans="2:4" ht="15.75" thickBot="1" x14ac:dyDescent="0.3">
      <c r="B569" s="246"/>
      <c r="C569" s="246"/>
      <c r="D569" s="246"/>
    </row>
    <row r="570" spans="2:4" ht="15.75" thickBot="1" x14ac:dyDescent="0.3">
      <c r="B570" s="246"/>
      <c r="C570" s="246"/>
      <c r="D570" s="246"/>
    </row>
    <row r="571" spans="2:4" ht="15.75" thickBot="1" x14ac:dyDescent="0.3">
      <c r="B571" s="246"/>
      <c r="C571" s="246"/>
      <c r="D571" s="246"/>
    </row>
    <row r="572" spans="2:4" ht="15.75" thickBot="1" x14ac:dyDescent="0.3">
      <c r="B572" s="246"/>
      <c r="C572" s="246"/>
      <c r="D572" s="246"/>
    </row>
    <row r="573" spans="2:4" ht="15.75" thickBot="1" x14ac:dyDescent="0.3">
      <c r="B573" s="246"/>
      <c r="C573" s="246"/>
      <c r="D573" s="246"/>
    </row>
    <row r="574" spans="2:4" ht="15.75" thickBot="1" x14ac:dyDescent="0.3">
      <c r="B574" s="246"/>
      <c r="C574" s="246"/>
      <c r="D574" s="246"/>
    </row>
    <row r="575" spans="2:4" ht="15.75" thickBot="1" x14ac:dyDescent="0.3">
      <c r="B575" s="246"/>
      <c r="C575" s="246"/>
      <c r="D575" s="246"/>
    </row>
    <row r="576" spans="2:4" ht="27" customHeight="1" thickBot="1" x14ac:dyDescent="0.3">
      <c r="B576" s="246"/>
      <c r="C576" s="246"/>
      <c r="D576" s="246"/>
    </row>
    <row r="577" spans="2:4" ht="15.75" thickBot="1" x14ac:dyDescent="0.3">
      <c r="B577" s="246"/>
      <c r="C577" s="246"/>
      <c r="D577" s="246"/>
    </row>
    <row r="578" spans="2:4" ht="15.75" thickBot="1" x14ac:dyDescent="0.3">
      <c r="B578" s="246"/>
      <c r="C578" s="246"/>
      <c r="D578" s="246"/>
    </row>
    <row r="579" spans="2:4" ht="15.75" thickBot="1" x14ac:dyDescent="0.3">
      <c r="B579" s="246"/>
      <c r="C579" s="246"/>
      <c r="D579" s="246"/>
    </row>
    <row r="580" spans="2:4" ht="24" customHeight="1" thickBot="1" x14ac:dyDescent="0.3">
      <c r="B580" s="246"/>
      <c r="C580" s="246"/>
      <c r="D580" s="246"/>
    </row>
    <row r="581" spans="2:4" ht="15.75" thickBot="1" x14ac:dyDescent="0.3">
      <c r="B581" s="246"/>
      <c r="C581" s="246"/>
      <c r="D581" s="246"/>
    </row>
    <row r="582" spans="2:4" ht="25.5" customHeight="1" thickBot="1" x14ac:dyDescent="0.3">
      <c r="B582" s="246"/>
      <c r="C582" s="246"/>
      <c r="D582" s="246"/>
    </row>
    <row r="583" spans="2:4" ht="22.5" customHeight="1" thickBot="1" x14ac:dyDescent="0.3">
      <c r="B583" s="246"/>
      <c r="C583" s="246"/>
      <c r="D583" s="246"/>
    </row>
    <row r="584" spans="2:4" ht="15.75" thickBot="1" x14ac:dyDescent="0.3">
      <c r="B584" s="246"/>
      <c r="C584" s="246"/>
      <c r="D584" s="246"/>
    </row>
    <row r="585" spans="2:4" ht="22.5" customHeight="1" thickBot="1" x14ac:dyDescent="0.3">
      <c r="B585" s="246"/>
      <c r="C585" s="246"/>
      <c r="D585" s="246"/>
    </row>
    <row r="586" spans="2:4" ht="15.75" thickBot="1" x14ac:dyDescent="0.3">
      <c r="B586" s="246"/>
      <c r="C586" s="246"/>
      <c r="D586" s="246"/>
    </row>
    <row r="587" spans="2:4" ht="15.75" thickBot="1" x14ac:dyDescent="0.3">
      <c r="B587" s="246"/>
      <c r="C587" s="246"/>
      <c r="D587" s="246"/>
    </row>
    <row r="588" spans="2:4" ht="15.75" thickBot="1" x14ac:dyDescent="0.3">
      <c r="B588" s="246"/>
      <c r="C588" s="246"/>
      <c r="D588" s="246"/>
    </row>
    <row r="589" spans="2:4" ht="25.5" customHeight="1" thickBot="1" x14ac:dyDescent="0.3">
      <c r="B589" s="246"/>
      <c r="C589" s="246"/>
      <c r="D589" s="246"/>
    </row>
    <row r="590" spans="2:4" ht="24" customHeight="1" thickBot="1" x14ac:dyDescent="0.3">
      <c r="B590" s="246"/>
      <c r="C590" s="246"/>
      <c r="D590" s="246"/>
    </row>
    <row r="591" spans="2:4" ht="24.75" customHeight="1" thickBot="1" x14ac:dyDescent="0.3">
      <c r="B591" s="246"/>
      <c r="C591" s="246"/>
      <c r="D591" s="246"/>
    </row>
    <row r="592" spans="2:4" ht="23.25" customHeight="1" thickBot="1" x14ac:dyDescent="0.3">
      <c r="B592" s="246"/>
      <c r="C592" s="246"/>
      <c r="D592" s="246"/>
    </row>
    <row r="593" spans="2:7" ht="23.25" customHeight="1" thickBot="1" x14ac:dyDescent="0.3">
      <c r="B593" s="246"/>
      <c r="C593" s="246"/>
      <c r="D593" s="246"/>
    </row>
    <row r="594" spans="2:7" ht="15.75" thickBot="1" x14ac:dyDescent="0.3">
      <c r="B594" s="246"/>
      <c r="C594" s="246"/>
      <c r="D594" s="246"/>
    </row>
    <row r="595" spans="2:7" ht="15.75" thickBot="1" x14ac:dyDescent="0.3">
      <c r="B595" s="247"/>
      <c r="C595" s="247"/>
      <c r="D595" s="247"/>
      <c r="E595" s="247"/>
      <c r="F595" s="247"/>
      <c r="G595" s="247"/>
    </row>
    <row r="597" spans="2:7" x14ac:dyDescent="0.25">
      <c r="B597" s="875"/>
      <c r="C597" s="875"/>
      <c r="D597" s="875"/>
      <c r="E597" s="875"/>
      <c r="F597" s="875"/>
      <c r="G597" s="875"/>
    </row>
    <row r="598" spans="2:7" x14ac:dyDescent="0.25">
      <c r="B598" s="248"/>
      <c r="C598" s="248"/>
      <c r="D598" s="248"/>
      <c r="E598" s="249"/>
      <c r="F598" s="249"/>
      <c r="G598" s="249"/>
    </row>
    <row r="605" spans="2:7" ht="21" customHeight="1" x14ac:dyDescent="0.25"/>
    <row r="606" spans="2:7" ht="27.75" customHeight="1" x14ac:dyDescent="0.25"/>
    <row r="607" spans="2:7" ht="23.25" customHeight="1" x14ac:dyDescent="0.25"/>
    <row r="613" ht="22.5" customHeight="1" x14ac:dyDescent="0.25"/>
    <row r="615" ht="25.5" customHeight="1" x14ac:dyDescent="0.25"/>
    <row r="618" ht="24" customHeight="1" x14ac:dyDescent="0.25"/>
    <row r="622" ht="26.25" customHeight="1" x14ac:dyDescent="0.25"/>
    <row r="623" ht="22.5" customHeight="1" x14ac:dyDescent="0.25"/>
    <row r="625" ht="22.5" customHeight="1" x14ac:dyDescent="0.25"/>
    <row r="628" ht="26.25" customHeight="1" x14ac:dyDescent="0.25"/>
    <row r="629" ht="26.25" customHeight="1" x14ac:dyDescent="0.25"/>
    <row r="632" ht="24" customHeight="1" x14ac:dyDescent="0.25"/>
    <row r="634" ht="22.5" customHeight="1" x14ac:dyDescent="0.25"/>
    <row r="647" spans="2:7" ht="23.25" customHeight="1" x14ac:dyDescent="0.25"/>
    <row r="650" spans="2:7" ht="24" customHeight="1" x14ac:dyDescent="0.25"/>
    <row r="652" spans="2:7" ht="15.75" thickBot="1" x14ac:dyDescent="0.3">
      <c r="B652" s="247"/>
      <c r="C652" s="247"/>
      <c r="D652" s="247"/>
      <c r="E652" s="247"/>
      <c r="F652" s="247"/>
      <c r="G652" s="247"/>
    </row>
    <row r="653" spans="2:7" x14ac:dyDescent="0.25">
      <c r="B653" s="876"/>
      <c r="C653" s="876"/>
    </row>
    <row r="660" spans="2:13" x14ac:dyDescent="0.25">
      <c r="B660" s="877"/>
      <c r="C660" s="877"/>
      <c r="D660" s="249"/>
      <c r="E660" s="249"/>
      <c r="F660" s="249"/>
      <c r="G660" s="249"/>
      <c r="H660" s="249"/>
      <c r="I660" s="249"/>
      <c r="J660" s="249"/>
      <c r="K660" s="249"/>
      <c r="L660" s="249"/>
      <c r="M660" s="249"/>
    </row>
    <row r="661" spans="2:13" x14ac:dyDescent="0.25">
      <c r="B661" s="814"/>
      <c r="C661" s="814"/>
      <c r="D661" s="879"/>
      <c r="E661" s="879"/>
      <c r="M661" s="251"/>
    </row>
    <row r="662" spans="2:13" ht="27" customHeight="1" x14ac:dyDescent="0.25">
      <c r="B662" s="814"/>
      <c r="C662" s="814"/>
      <c r="D662" s="879"/>
      <c r="E662" s="879"/>
      <c r="F662" s="16"/>
      <c r="G662" s="16"/>
      <c r="H662" s="16"/>
      <c r="I662" s="16"/>
      <c r="J662" s="16"/>
      <c r="K662" s="16"/>
      <c r="L662" s="16"/>
      <c r="M662" s="252"/>
    </row>
    <row r="663" spans="2:13" ht="26.25" customHeight="1" x14ac:dyDescent="0.25">
      <c r="B663" s="814"/>
      <c r="C663" s="814"/>
      <c r="D663" s="879"/>
      <c r="E663" s="879"/>
      <c r="F663" s="16"/>
      <c r="G663" s="16"/>
      <c r="H663" s="16"/>
      <c r="I663" s="16"/>
      <c r="J663" s="16"/>
      <c r="K663" s="16"/>
      <c r="L663" s="16"/>
      <c r="M663" s="252"/>
    </row>
    <row r="664" spans="2:13" ht="19.5" customHeight="1" x14ac:dyDescent="0.25">
      <c r="B664" s="814"/>
      <c r="C664" s="814"/>
      <c r="D664" s="879"/>
      <c r="E664" s="879"/>
      <c r="F664" s="16"/>
      <c r="G664" s="16"/>
      <c r="H664" s="16"/>
      <c r="I664" s="16"/>
      <c r="J664" s="16"/>
      <c r="K664" s="16"/>
      <c r="L664" s="16"/>
      <c r="M664" s="252"/>
    </row>
    <row r="665" spans="2:13" ht="25.5" customHeight="1" x14ac:dyDescent="0.25">
      <c r="B665" s="814"/>
      <c r="C665" s="814"/>
      <c r="D665" s="879"/>
      <c r="E665" s="879"/>
      <c r="F665" s="16"/>
      <c r="G665" s="16"/>
      <c r="H665" s="16"/>
      <c r="I665" s="16"/>
      <c r="J665" s="16"/>
      <c r="K665" s="16"/>
      <c r="L665" s="16"/>
      <c r="M665" s="252"/>
    </row>
    <row r="666" spans="2:13" ht="18" customHeight="1" x14ac:dyDescent="0.25">
      <c r="B666" s="814"/>
      <c r="C666" s="814"/>
      <c r="D666" s="879"/>
      <c r="E666" s="879"/>
      <c r="F666" s="16"/>
      <c r="G666" s="16"/>
      <c r="H666" s="16"/>
      <c r="I666" s="16"/>
      <c r="J666" s="16"/>
      <c r="K666" s="16"/>
      <c r="L666" s="16"/>
      <c r="M666" s="252"/>
    </row>
    <row r="667" spans="2:13" ht="18.75" customHeight="1" x14ac:dyDescent="0.25">
      <c r="B667" s="814"/>
      <c r="C667" s="814"/>
      <c r="D667" s="879"/>
      <c r="E667" s="879"/>
      <c r="F667" s="16"/>
      <c r="G667" s="16"/>
      <c r="H667" s="16"/>
      <c r="I667" s="16"/>
      <c r="J667" s="16"/>
      <c r="K667" s="16"/>
      <c r="L667" s="16"/>
      <c r="M667" s="252"/>
    </row>
    <row r="668" spans="2:13" ht="27.75" customHeight="1" x14ac:dyDescent="0.25">
      <c r="B668" s="814"/>
      <c r="C668" s="814"/>
      <c r="D668" s="879"/>
      <c r="E668" s="879"/>
      <c r="F668" s="16"/>
      <c r="G668" s="16"/>
      <c r="H668" s="16"/>
      <c r="I668" s="16"/>
      <c r="J668" s="16"/>
      <c r="K668" s="16"/>
      <c r="L668" s="16"/>
      <c r="M668" s="252"/>
    </row>
    <row r="669" spans="2:13" ht="18.75" customHeight="1" x14ac:dyDescent="0.25">
      <c r="B669" s="814"/>
      <c r="C669" s="814"/>
      <c r="D669" s="879"/>
      <c r="E669" s="879"/>
      <c r="F669" s="16"/>
      <c r="G669" s="16"/>
      <c r="H669" s="16"/>
      <c r="I669" s="16"/>
      <c r="J669" s="16"/>
      <c r="K669" s="16"/>
      <c r="L669" s="16"/>
      <c r="M669" s="252"/>
    </row>
    <row r="670" spans="2:13" ht="30" customHeight="1" thickBot="1" x14ac:dyDescent="0.3">
      <c r="B670" s="814"/>
      <c r="C670" s="814"/>
      <c r="D670" s="878"/>
      <c r="E670" s="878"/>
      <c r="F670" s="247"/>
      <c r="G670" s="247"/>
      <c r="H670" s="247"/>
      <c r="I670" s="247"/>
      <c r="J670" s="247"/>
      <c r="K670" s="247"/>
      <c r="L670" s="247"/>
      <c r="M670" s="253"/>
    </row>
    <row r="672" spans="2:13" x14ac:dyDescent="0.25">
      <c r="B672" s="877"/>
      <c r="C672" s="877"/>
      <c r="D672" s="249"/>
      <c r="E672" s="249"/>
      <c r="F672" s="249"/>
      <c r="G672" s="249"/>
      <c r="H672" s="249"/>
      <c r="I672" s="249"/>
      <c r="J672" s="249"/>
      <c r="K672" s="249"/>
      <c r="L672" s="249"/>
      <c r="M672" s="249"/>
    </row>
    <row r="673" spans="2:13" ht="18.75" customHeight="1" x14ac:dyDescent="0.25">
      <c r="B673" s="814"/>
      <c r="C673" s="814"/>
      <c r="D673" s="879"/>
      <c r="E673" s="879"/>
      <c r="M673" s="251"/>
    </row>
    <row r="674" spans="2:13" ht="27.75" customHeight="1" x14ac:dyDescent="0.25">
      <c r="B674" s="814"/>
      <c r="C674" s="814"/>
      <c r="D674" s="879"/>
      <c r="E674" s="879"/>
      <c r="F674" s="16"/>
      <c r="G674" s="16"/>
      <c r="H674" s="16"/>
      <c r="I674" s="16"/>
      <c r="J674" s="16"/>
      <c r="K674" s="16"/>
      <c r="L674" s="16"/>
      <c r="M674" s="252"/>
    </row>
    <row r="675" spans="2:13" ht="29.25" customHeight="1" x14ac:dyDescent="0.25">
      <c r="B675" s="814"/>
      <c r="C675" s="814"/>
      <c r="D675" s="879"/>
      <c r="E675" s="879"/>
      <c r="F675" s="16"/>
      <c r="G675" s="16"/>
      <c r="H675" s="16"/>
      <c r="I675" s="16"/>
      <c r="J675" s="16"/>
      <c r="K675" s="16"/>
      <c r="L675" s="16"/>
      <c r="M675" s="252"/>
    </row>
    <row r="676" spans="2:13" ht="21" customHeight="1" x14ac:dyDescent="0.25">
      <c r="B676" s="814"/>
      <c r="C676" s="814"/>
      <c r="D676" s="879"/>
      <c r="E676" s="879"/>
      <c r="F676" s="16"/>
      <c r="G676" s="16"/>
      <c r="H676" s="16"/>
      <c r="I676" s="16"/>
      <c r="J676" s="16"/>
      <c r="K676" s="16"/>
      <c r="L676" s="16"/>
      <c r="M676" s="252"/>
    </row>
    <row r="677" spans="2:13" ht="26.25" customHeight="1" x14ac:dyDescent="0.25">
      <c r="B677" s="814"/>
      <c r="C677" s="814"/>
      <c r="D677" s="879"/>
      <c r="E677" s="879"/>
      <c r="F677" s="16"/>
      <c r="G677" s="16"/>
      <c r="H677" s="16"/>
      <c r="I677" s="16"/>
      <c r="J677" s="16"/>
      <c r="K677" s="16"/>
      <c r="L677" s="16"/>
      <c r="M677" s="252"/>
    </row>
    <row r="678" spans="2:13" ht="21" customHeight="1" x14ac:dyDescent="0.25">
      <c r="B678" s="814"/>
      <c r="C678" s="814"/>
      <c r="D678" s="879"/>
      <c r="E678" s="879"/>
      <c r="F678" s="16"/>
      <c r="G678" s="16"/>
      <c r="H678" s="16"/>
      <c r="I678" s="16"/>
      <c r="J678" s="16"/>
      <c r="K678" s="16"/>
      <c r="L678" s="16"/>
      <c r="M678" s="252"/>
    </row>
    <row r="679" spans="2:13" ht="21.75" customHeight="1" x14ac:dyDescent="0.25">
      <c r="B679" s="814"/>
      <c r="C679" s="814"/>
      <c r="D679" s="879"/>
      <c r="E679" s="879"/>
      <c r="F679" s="16"/>
      <c r="G679" s="16"/>
      <c r="H679" s="16"/>
      <c r="I679" s="16"/>
      <c r="J679" s="16"/>
      <c r="K679" s="16"/>
      <c r="L679" s="16"/>
      <c r="M679" s="252"/>
    </row>
    <row r="680" spans="2:13" ht="25.5" customHeight="1" x14ac:dyDescent="0.25">
      <c r="B680" s="814"/>
      <c r="C680" s="814"/>
      <c r="D680" s="879"/>
      <c r="E680" s="879"/>
      <c r="F680" s="16"/>
      <c r="G680" s="16"/>
      <c r="H680" s="16"/>
      <c r="I680" s="16"/>
      <c r="J680" s="16"/>
      <c r="K680" s="16"/>
      <c r="L680" s="16"/>
      <c r="M680" s="252"/>
    </row>
    <row r="681" spans="2:13" ht="20.25" customHeight="1" x14ac:dyDescent="0.25">
      <c r="B681" s="814"/>
      <c r="C681" s="814"/>
      <c r="D681" s="879"/>
      <c r="E681" s="879"/>
      <c r="F681" s="16"/>
      <c r="G681" s="16"/>
      <c r="H681" s="16"/>
      <c r="I681" s="16"/>
      <c r="J681" s="16"/>
      <c r="K681" s="16"/>
      <c r="L681" s="16"/>
      <c r="M681" s="252"/>
    </row>
    <row r="682" spans="2:13" ht="24" customHeight="1" thickBot="1" x14ac:dyDescent="0.3">
      <c r="B682" s="814"/>
      <c r="C682" s="814"/>
      <c r="D682" s="878"/>
      <c r="E682" s="878"/>
      <c r="F682" s="247"/>
      <c r="G682" s="247"/>
      <c r="H682" s="247"/>
      <c r="I682" s="247"/>
      <c r="J682" s="247"/>
      <c r="K682" s="247"/>
      <c r="L682" s="247"/>
      <c r="M682" s="253"/>
    </row>
    <row r="683" spans="2:13" x14ac:dyDescent="0.25">
      <c r="B683" s="875"/>
      <c r="C683" s="875"/>
    </row>
    <row r="699" spans="2:14" x14ac:dyDescent="0.25">
      <c r="B699" s="875"/>
      <c r="C699" s="875"/>
      <c r="D699" s="875"/>
      <c r="E699" s="875"/>
      <c r="F699" s="875"/>
      <c r="G699" s="875"/>
      <c r="H699" s="875"/>
      <c r="I699" s="875"/>
      <c r="J699" s="875"/>
      <c r="K699" s="875"/>
      <c r="L699" s="875"/>
      <c r="M699" s="875"/>
      <c r="N699" s="875"/>
    </row>
    <row r="700" spans="2:14" ht="24.75" customHeight="1" x14ac:dyDescent="0.25">
      <c r="C700" s="877"/>
      <c r="D700" s="877"/>
      <c r="E700" s="877"/>
      <c r="F700" s="877"/>
      <c r="G700" s="877"/>
      <c r="H700" s="880"/>
      <c r="I700" s="877"/>
      <c r="J700" s="877"/>
      <c r="K700" s="877"/>
      <c r="L700" s="877"/>
      <c r="M700" s="877"/>
      <c r="N700" s="877"/>
    </row>
    <row r="701" spans="2:14" ht="29.25" customHeight="1" x14ac:dyDescent="0.25">
      <c r="B701" s="249"/>
      <c r="C701" s="877"/>
      <c r="D701" s="877"/>
      <c r="E701" s="877"/>
      <c r="F701" s="877"/>
      <c r="G701" s="877"/>
      <c r="H701" s="880"/>
      <c r="I701" s="877"/>
      <c r="J701" s="877"/>
      <c r="K701" s="877"/>
      <c r="L701" s="877"/>
      <c r="M701" s="877"/>
      <c r="N701" s="877"/>
    </row>
    <row r="702" spans="2:14" ht="15.75" thickBot="1" x14ac:dyDescent="0.3">
      <c r="B702" s="255"/>
      <c r="C702" s="882"/>
      <c r="D702" s="882"/>
      <c r="E702" s="882"/>
      <c r="F702" s="882"/>
      <c r="G702" s="882"/>
      <c r="H702" s="882"/>
      <c r="I702" s="881"/>
      <c r="J702" s="881"/>
      <c r="K702" s="881"/>
      <c r="L702" s="881"/>
      <c r="M702" s="882"/>
      <c r="N702" s="882"/>
    </row>
    <row r="722" spans="2:13" x14ac:dyDescent="0.25">
      <c r="B722" s="875"/>
      <c r="C722" s="875"/>
      <c r="D722" s="875"/>
      <c r="E722" s="875"/>
      <c r="F722" s="875"/>
      <c r="G722" s="875"/>
      <c r="H722" s="875"/>
      <c r="I722" s="875"/>
      <c r="J722" s="875"/>
      <c r="K722" s="875"/>
      <c r="L722" s="875"/>
      <c r="M722" s="875"/>
    </row>
    <row r="723" spans="2:13" x14ac:dyDescent="0.25">
      <c r="C723" s="877"/>
      <c r="D723" s="877"/>
      <c r="E723" s="877"/>
      <c r="F723" s="877"/>
      <c r="G723" s="877"/>
      <c r="H723" s="880"/>
      <c r="I723" s="877"/>
      <c r="J723" s="877"/>
      <c r="K723" s="877"/>
      <c r="L723" s="877"/>
      <c r="M723" s="877"/>
    </row>
    <row r="724" spans="2:13" x14ac:dyDescent="0.25">
      <c r="B724" s="249"/>
      <c r="C724" s="877"/>
      <c r="D724" s="877"/>
      <c r="E724" s="877"/>
      <c r="F724" s="877"/>
      <c r="G724" s="877"/>
      <c r="H724" s="880"/>
      <c r="I724" s="877"/>
      <c r="J724" s="877"/>
      <c r="K724" s="877"/>
      <c r="L724" s="877"/>
      <c r="M724" s="248"/>
    </row>
    <row r="725" spans="2:13" ht="15.75" thickBot="1" x14ac:dyDescent="0.3">
      <c r="B725" s="255"/>
      <c r="C725" s="882"/>
      <c r="D725" s="882"/>
      <c r="E725" s="882"/>
      <c r="F725" s="882"/>
      <c r="G725" s="882"/>
      <c r="H725" s="882"/>
      <c r="I725" s="881"/>
      <c r="J725" s="881"/>
      <c r="K725" s="881"/>
      <c r="L725" s="881"/>
      <c r="M725" s="256"/>
    </row>
  </sheetData>
  <mergeCells count="139">
    <mergeCell ref="K701:L701"/>
    <mergeCell ref="K702:L702"/>
    <mergeCell ref="M701:N701"/>
    <mergeCell ref="M702:N702"/>
    <mergeCell ref="I700:N700"/>
    <mergeCell ref="B699:N699"/>
    <mergeCell ref="C725:D725"/>
    <mergeCell ref="E725:F725"/>
    <mergeCell ref="G725:H725"/>
    <mergeCell ref="I725:J725"/>
    <mergeCell ref="K725:L725"/>
    <mergeCell ref="B722:M722"/>
    <mergeCell ref="C723:H723"/>
    <mergeCell ref="I723:M723"/>
    <mergeCell ref="C724:D724"/>
    <mergeCell ref="E724:F724"/>
    <mergeCell ref="G724:H724"/>
    <mergeCell ref="I724:J724"/>
    <mergeCell ref="K724:L724"/>
    <mergeCell ref="B683:C683"/>
    <mergeCell ref="C700:H700"/>
    <mergeCell ref="I701:J701"/>
    <mergeCell ref="I702:J702"/>
    <mergeCell ref="C701:D701"/>
    <mergeCell ref="E701:F701"/>
    <mergeCell ref="G701:H701"/>
    <mergeCell ref="C702:D702"/>
    <mergeCell ref="E702:F702"/>
    <mergeCell ref="G702:H702"/>
    <mergeCell ref="B672:C672"/>
    <mergeCell ref="B673:C682"/>
    <mergeCell ref="D673:E673"/>
    <mergeCell ref="D674:E674"/>
    <mergeCell ref="D675:E675"/>
    <mergeCell ref="D676:E676"/>
    <mergeCell ref="D677:E677"/>
    <mergeCell ref="D678:E678"/>
    <mergeCell ref="D679:E679"/>
    <mergeCell ref="D680:E680"/>
    <mergeCell ref="D681:E681"/>
    <mergeCell ref="D682:E682"/>
    <mergeCell ref="B557:G557"/>
    <mergeCell ref="B597:G597"/>
    <mergeCell ref="B653:C653"/>
    <mergeCell ref="B661:C670"/>
    <mergeCell ref="B660:C660"/>
    <mergeCell ref="D670:E670"/>
    <mergeCell ref="D669:E669"/>
    <mergeCell ref="D668:E668"/>
    <mergeCell ref="D666:E666"/>
    <mergeCell ref="D667:E667"/>
    <mergeCell ref="D665:E665"/>
    <mergeCell ref="D664:E664"/>
    <mergeCell ref="D662:E662"/>
    <mergeCell ref="D661:E661"/>
    <mergeCell ref="D663:E663"/>
    <mergeCell ref="G65:K66"/>
    <mergeCell ref="G67:K75"/>
    <mergeCell ref="D69:F69"/>
    <mergeCell ref="D68:F68"/>
    <mergeCell ref="D67:F67"/>
    <mergeCell ref="D54:F54"/>
    <mergeCell ref="D52:F52"/>
    <mergeCell ref="D51:F51"/>
    <mergeCell ref="G34:K36"/>
    <mergeCell ref="G37:K50"/>
    <mergeCell ref="D75:F75"/>
    <mergeCell ref="D74:F74"/>
    <mergeCell ref="D73:F73"/>
    <mergeCell ref="D72:F72"/>
    <mergeCell ref="D71:F71"/>
    <mergeCell ref="D70:F70"/>
    <mergeCell ref="D53:F53"/>
    <mergeCell ref="D66:F66"/>
    <mergeCell ref="D65:F65"/>
    <mergeCell ref="D64:F64"/>
    <mergeCell ref="D62:F62"/>
    <mergeCell ref="D35:F35"/>
    <mergeCell ref="D34:F34"/>
    <mergeCell ref="D59:F59"/>
    <mergeCell ref="D58:F58"/>
    <mergeCell ref="D57:F57"/>
    <mergeCell ref="D56:F56"/>
    <mergeCell ref="D55:F55"/>
    <mergeCell ref="G51:K53"/>
    <mergeCell ref="G54:K58"/>
    <mergeCell ref="G59:K64"/>
    <mergeCell ref="D29:F29"/>
    <mergeCell ref="D28:F28"/>
    <mergeCell ref="D26:F26"/>
    <mergeCell ref="D25:F25"/>
    <mergeCell ref="D24:F24"/>
    <mergeCell ref="G13:K13"/>
    <mergeCell ref="D22:F22"/>
    <mergeCell ref="D44:F44"/>
    <mergeCell ref="D43:F43"/>
    <mergeCell ref="D33:F33"/>
    <mergeCell ref="D32:F32"/>
    <mergeCell ref="D31:F31"/>
    <mergeCell ref="D30:F30"/>
    <mergeCell ref="D42:F42"/>
    <mergeCell ref="D41:F41"/>
    <mergeCell ref="D40:F40"/>
    <mergeCell ref="D39:F39"/>
    <mergeCell ref="G14:K26"/>
    <mergeCell ref="G27:K33"/>
    <mergeCell ref="B13:C13"/>
    <mergeCell ref="D17:F17"/>
    <mergeCell ref="D18:F18"/>
    <mergeCell ref="D13:F13"/>
    <mergeCell ref="D16:F16"/>
    <mergeCell ref="D15:F15"/>
    <mergeCell ref="D14:F14"/>
    <mergeCell ref="D20:F20"/>
    <mergeCell ref="D19:F19"/>
    <mergeCell ref="B67:C75"/>
    <mergeCell ref="B14:C26"/>
    <mergeCell ref="D63:F63"/>
    <mergeCell ref="D61:F61"/>
    <mergeCell ref="D60:F60"/>
    <mergeCell ref="B27:C33"/>
    <mergeCell ref="B34:C36"/>
    <mergeCell ref="B37:C50"/>
    <mergeCell ref="B51:C53"/>
    <mergeCell ref="B54:C58"/>
    <mergeCell ref="B59:C64"/>
    <mergeCell ref="B65:C66"/>
    <mergeCell ref="D38:F38"/>
    <mergeCell ref="D37:F37"/>
    <mergeCell ref="D36:F36"/>
    <mergeCell ref="D50:F50"/>
    <mergeCell ref="D49:F49"/>
    <mergeCell ref="D23:F23"/>
    <mergeCell ref="D21:F21"/>
    <mergeCell ref="D48:F48"/>
    <mergeCell ref="D47:F47"/>
    <mergeCell ref="D46:F46"/>
    <mergeCell ref="D45:F45"/>
    <mergeCell ref="D27:F27"/>
  </mergeCells>
  <hyperlinks>
    <hyperlink ref="G37" r:id="rId1" display="https://moodle.urv.cat/docnet/guia_docent/index.php?centre=codicentre" xr:uid="{00000000-0004-0000-0200-000000000000}"/>
    <hyperlink ref="G51" r:id="rId2" xr:uid="{00000000-0004-0000-0200-000001000000}"/>
    <hyperlink ref="G59" r:id="rId3" display="https://www.urv.cat/ca/universitat/normatives/normativa-mobilitat/" xr:uid="{00000000-0004-0000-0200-000002000000}"/>
  </hyperlinks>
  <pageMargins left="0.7" right="0.7" top="0.75" bottom="0.75" header="0.3" footer="0.3"/>
  <pageSetup paperSize="9" orientation="portrait" verticalDpi="0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7:T108"/>
  <sheetViews>
    <sheetView topLeftCell="C15" zoomScaleNormal="100" workbookViewId="0">
      <selection activeCell="R73" sqref="R73:R76"/>
    </sheetView>
  </sheetViews>
  <sheetFormatPr baseColWidth="10" defaultColWidth="11.42578125" defaultRowHeight="15" x14ac:dyDescent="0.25"/>
  <sheetData>
    <row r="7" spans="1:20" ht="18" x14ac:dyDescent="0.25">
      <c r="B7" s="1" t="s">
        <v>0</v>
      </c>
    </row>
    <row r="9" spans="1:20" ht="18" x14ac:dyDescent="0.25">
      <c r="B9" s="1" t="s">
        <v>642</v>
      </c>
    </row>
    <row r="10" spans="1:20" ht="18" x14ac:dyDescent="0.25">
      <c r="B10" s="1"/>
      <c r="R10" s="48"/>
    </row>
    <row r="12" spans="1:20" x14ac:dyDescent="0.25">
      <c r="A12" s="444"/>
      <c r="B12" s="832" t="s">
        <v>795</v>
      </c>
      <c r="C12" s="832"/>
      <c r="D12" s="832"/>
      <c r="E12" s="832"/>
      <c r="F12" s="832"/>
      <c r="G12" s="832"/>
      <c r="H12" s="832"/>
      <c r="I12" s="832"/>
      <c r="J12" s="832"/>
      <c r="K12" s="832"/>
      <c r="L12" s="832"/>
      <c r="M12" s="832"/>
      <c r="N12" s="832"/>
      <c r="O12" s="832"/>
      <c r="P12" s="832"/>
      <c r="Q12" s="832"/>
      <c r="R12" s="832"/>
      <c r="S12" s="832"/>
      <c r="T12" s="832"/>
    </row>
    <row r="13" spans="1:20" x14ac:dyDescent="0.25">
      <c r="B13" s="903" t="s">
        <v>7</v>
      </c>
      <c r="C13" s="903"/>
      <c r="D13" s="903"/>
      <c r="E13" s="903"/>
      <c r="F13" s="903"/>
      <c r="G13" s="903"/>
      <c r="H13" s="903"/>
      <c r="I13" s="903"/>
      <c r="J13" s="262"/>
      <c r="K13" s="903"/>
      <c r="L13" s="903"/>
      <c r="M13" s="903"/>
      <c r="N13" s="903"/>
      <c r="O13" s="904"/>
      <c r="P13" s="904"/>
      <c r="Q13" s="904"/>
      <c r="R13" s="904"/>
      <c r="S13" s="904"/>
      <c r="T13" s="904"/>
    </row>
    <row r="14" spans="1:20" ht="15.75" customHeight="1" x14ac:dyDescent="0.25">
      <c r="B14" s="767" t="s">
        <v>165</v>
      </c>
      <c r="C14" s="767" t="s">
        <v>166</v>
      </c>
      <c r="D14" s="767"/>
      <c r="E14" s="767" t="s">
        <v>167</v>
      </c>
      <c r="F14" s="767"/>
      <c r="G14" s="767" t="s">
        <v>168</v>
      </c>
      <c r="H14" s="767" t="s">
        <v>169</v>
      </c>
      <c r="I14" s="767" t="s">
        <v>170</v>
      </c>
      <c r="J14" s="767"/>
      <c r="K14" s="767" t="s">
        <v>171</v>
      </c>
      <c r="L14" s="767"/>
      <c r="M14" s="767" t="s">
        <v>250</v>
      </c>
      <c r="N14" s="767"/>
      <c r="O14" s="767"/>
      <c r="P14" s="767"/>
      <c r="Q14" s="767"/>
      <c r="R14" s="767"/>
      <c r="S14" s="767" t="s">
        <v>172</v>
      </c>
      <c r="T14" s="767"/>
    </row>
    <row r="15" spans="1:20" ht="23.25" customHeight="1" x14ac:dyDescent="0.25">
      <c r="B15" s="771"/>
      <c r="C15" s="771"/>
      <c r="D15" s="771"/>
      <c r="E15" s="771"/>
      <c r="F15" s="771"/>
      <c r="G15" s="771"/>
      <c r="H15" s="771"/>
      <c r="I15" s="771"/>
      <c r="J15" s="771"/>
      <c r="K15" s="771"/>
      <c r="L15" s="771"/>
      <c r="M15" s="163" t="s">
        <v>173</v>
      </c>
      <c r="N15" s="163" t="s">
        <v>174</v>
      </c>
      <c r="O15" s="163" t="s">
        <v>891</v>
      </c>
      <c r="P15" s="163" t="s">
        <v>959</v>
      </c>
      <c r="Q15" s="163" t="s">
        <v>1128</v>
      </c>
      <c r="R15" s="163" t="s">
        <v>1232</v>
      </c>
      <c r="S15" s="771"/>
      <c r="T15" s="771"/>
    </row>
    <row r="16" spans="1:20" ht="15.75" thickBot="1" x14ac:dyDescent="0.3">
      <c r="B16" s="909" t="s">
        <v>175</v>
      </c>
      <c r="C16" s="909"/>
      <c r="D16" s="909"/>
      <c r="E16" s="909"/>
      <c r="F16" s="909"/>
      <c r="G16" s="909"/>
      <c r="H16" s="909"/>
      <c r="I16" s="909"/>
      <c r="J16" s="219"/>
      <c r="K16" s="909"/>
      <c r="L16" s="909"/>
      <c r="M16" s="908"/>
      <c r="N16" s="908"/>
      <c r="O16" s="908"/>
      <c r="P16" s="908"/>
      <c r="Q16" s="908"/>
      <c r="R16" s="908"/>
      <c r="S16" s="908"/>
      <c r="T16" s="908"/>
    </row>
    <row r="17" spans="2:20" ht="15" customHeight="1" x14ac:dyDescent="0.25">
      <c r="B17" s="883"/>
      <c r="C17" s="883" t="s">
        <v>176</v>
      </c>
      <c r="D17" s="883"/>
      <c r="E17" s="883" t="s">
        <v>177</v>
      </c>
      <c r="F17" s="883"/>
      <c r="G17" s="883" t="s">
        <v>178</v>
      </c>
      <c r="H17" s="883" t="s">
        <v>179</v>
      </c>
      <c r="I17" s="883" t="s">
        <v>180</v>
      </c>
      <c r="J17" s="883"/>
      <c r="K17" s="883" t="s">
        <v>181</v>
      </c>
      <c r="L17" s="883"/>
      <c r="M17" s="887">
        <v>0.65720000000000001</v>
      </c>
      <c r="N17" s="887">
        <v>0.85</v>
      </c>
      <c r="O17" s="887">
        <f>24/60</f>
        <v>0.4</v>
      </c>
      <c r="P17" s="887">
        <f>14/60</f>
        <v>0.23333333333333334</v>
      </c>
      <c r="Q17" s="887">
        <v>1.43E-2</v>
      </c>
      <c r="R17" s="894">
        <v>0.1163</v>
      </c>
      <c r="S17" s="883" t="s">
        <v>182</v>
      </c>
      <c r="T17" s="883"/>
    </row>
    <row r="18" spans="2:20" x14ac:dyDescent="0.25">
      <c r="B18" s="883"/>
      <c r="C18" s="883"/>
      <c r="D18" s="883"/>
      <c r="E18" s="883"/>
      <c r="F18" s="883"/>
      <c r="G18" s="883"/>
      <c r="H18" s="883"/>
      <c r="I18" s="883"/>
      <c r="J18" s="883"/>
      <c r="K18" s="883"/>
      <c r="L18" s="883"/>
      <c r="M18" s="887"/>
      <c r="N18" s="887"/>
      <c r="O18" s="887"/>
      <c r="P18" s="888"/>
      <c r="Q18" s="888"/>
      <c r="R18" s="895"/>
      <c r="S18" s="883" t="s">
        <v>183</v>
      </c>
      <c r="T18" s="883"/>
    </row>
    <row r="19" spans="2:20" x14ac:dyDescent="0.25">
      <c r="B19" s="883"/>
      <c r="C19" s="883"/>
      <c r="D19" s="883"/>
      <c r="E19" s="883"/>
      <c r="F19" s="883"/>
      <c r="G19" s="883"/>
      <c r="H19" s="883"/>
      <c r="I19" s="883"/>
      <c r="J19" s="883"/>
      <c r="K19" s="883"/>
      <c r="L19" s="883"/>
      <c r="M19" s="887"/>
      <c r="N19" s="887"/>
      <c r="O19" s="887"/>
      <c r="P19" s="888"/>
      <c r="Q19" s="888"/>
      <c r="R19" s="895"/>
      <c r="S19" s="883" t="s">
        <v>184</v>
      </c>
      <c r="T19" s="883"/>
    </row>
    <row r="20" spans="2:20" ht="37.5" customHeight="1" thickBot="1" x14ac:dyDescent="0.3">
      <c r="B20" s="884"/>
      <c r="C20" s="884"/>
      <c r="D20" s="884"/>
      <c r="E20" s="884" t="s">
        <v>185</v>
      </c>
      <c r="F20" s="884"/>
      <c r="G20" s="884"/>
      <c r="H20" s="884"/>
      <c r="I20" s="884"/>
      <c r="J20" s="884"/>
      <c r="K20" s="884"/>
      <c r="L20" s="884"/>
      <c r="M20" s="914"/>
      <c r="N20" s="914"/>
      <c r="O20" s="901"/>
      <c r="P20" s="889"/>
      <c r="Q20" s="889"/>
      <c r="R20" s="896"/>
      <c r="S20" s="884" t="s">
        <v>186</v>
      </c>
      <c r="T20" s="884"/>
    </row>
    <row r="21" spans="2:20" ht="15" customHeight="1" x14ac:dyDescent="0.25">
      <c r="B21" s="898"/>
      <c r="C21" s="883" t="s">
        <v>187</v>
      </c>
      <c r="D21" s="883"/>
      <c r="E21" s="891" t="s">
        <v>177</v>
      </c>
      <c r="F21" s="891"/>
      <c r="G21" s="891" t="s">
        <v>178</v>
      </c>
      <c r="H21" s="891" t="s">
        <v>179</v>
      </c>
      <c r="I21" s="891" t="s">
        <v>180</v>
      </c>
      <c r="J21" s="891"/>
      <c r="K21" s="891" t="s">
        <v>181</v>
      </c>
      <c r="L21" s="891"/>
      <c r="M21" s="915">
        <v>0.73329999999999995</v>
      </c>
      <c r="N21" s="915">
        <v>0.317</v>
      </c>
      <c r="O21" s="890">
        <f>31/56</f>
        <v>0.5535714285714286</v>
      </c>
      <c r="P21" s="887">
        <f>10/40</f>
        <v>0.25</v>
      </c>
      <c r="Q21" s="887">
        <v>0.22</v>
      </c>
      <c r="R21" s="894">
        <v>0.35</v>
      </c>
      <c r="S21" s="891" t="s">
        <v>182</v>
      </c>
      <c r="T21" s="891"/>
    </row>
    <row r="22" spans="2:20" x14ac:dyDescent="0.25">
      <c r="B22" s="905"/>
      <c r="C22" s="883"/>
      <c r="D22" s="883"/>
      <c r="E22" s="883"/>
      <c r="F22" s="883"/>
      <c r="G22" s="883"/>
      <c r="H22" s="883"/>
      <c r="I22" s="883"/>
      <c r="J22" s="883"/>
      <c r="K22" s="883"/>
      <c r="L22" s="883"/>
      <c r="M22" s="887"/>
      <c r="N22" s="887"/>
      <c r="O22" s="887"/>
      <c r="P22" s="888"/>
      <c r="Q22" s="888"/>
      <c r="R22" s="895"/>
      <c r="S22" s="883" t="s">
        <v>183</v>
      </c>
      <c r="T22" s="883"/>
    </row>
    <row r="23" spans="2:20" x14ac:dyDescent="0.25">
      <c r="B23" s="905"/>
      <c r="C23" s="883"/>
      <c r="D23" s="883"/>
      <c r="E23" s="883"/>
      <c r="F23" s="883"/>
      <c r="G23" s="883"/>
      <c r="H23" s="883"/>
      <c r="I23" s="883"/>
      <c r="J23" s="883"/>
      <c r="K23" s="883"/>
      <c r="L23" s="883"/>
      <c r="M23" s="887"/>
      <c r="N23" s="887"/>
      <c r="O23" s="887"/>
      <c r="P23" s="888"/>
      <c r="Q23" s="888"/>
      <c r="R23" s="895"/>
      <c r="S23" s="883" t="s">
        <v>184</v>
      </c>
      <c r="T23" s="883"/>
    </row>
    <row r="24" spans="2:20" ht="33" customHeight="1" thickBot="1" x14ac:dyDescent="0.3">
      <c r="B24" s="906"/>
      <c r="C24" s="884"/>
      <c r="D24" s="884"/>
      <c r="E24" s="884" t="s">
        <v>185</v>
      </c>
      <c r="F24" s="884"/>
      <c r="G24" s="884"/>
      <c r="H24" s="884"/>
      <c r="I24" s="884"/>
      <c r="J24" s="884"/>
      <c r="K24" s="884"/>
      <c r="L24" s="884"/>
      <c r="M24" s="914"/>
      <c r="N24" s="914"/>
      <c r="O24" s="901"/>
      <c r="P24" s="889"/>
      <c r="Q24" s="889"/>
      <c r="R24" s="896"/>
      <c r="S24" s="884" t="s">
        <v>186</v>
      </c>
      <c r="T24" s="884"/>
    </row>
    <row r="25" spans="2:20" ht="33" customHeight="1" thickBot="1" x14ac:dyDescent="0.3">
      <c r="B25" s="209"/>
      <c r="C25" s="893" t="s">
        <v>188</v>
      </c>
      <c r="D25" s="893"/>
      <c r="E25" s="893" t="s">
        <v>189</v>
      </c>
      <c r="F25" s="893"/>
      <c r="G25" s="210" t="s">
        <v>178</v>
      </c>
      <c r="H25" s="210" t="s">
        <v>179</v>
      </c>
      <c r="I25" s="893" t="s">
        <v>190</v>
      </c>
      <c r="J25" s="893"/>
      <c r="K25" s="893" t="s">
        <v>181</v>
      </c>
      <c r="L25" s="893"/>
      <c r="M25" s="211">
        <v>0.5544</v>
      </c>
      <c r="N25" s="211">
        <v>0.49249999999999999</v>
      </c>
      <c r="O25" s="412">
        <f>365/1178</f>
        <v>0.30984719864176569</v>
      </c>
      <c r="P25" s="412">
        <f>734/1531</f>
        <v>0.47942521227955587</v>
      </c>
      <c r="Q25" s="412">
        <f>306/1851</f>
        <v>0.16531604538087522</v>
      </c>
      <c r="R25" s="689">
        <v>0.24579999999999999</v>
      </c>
      <c r="S25" s="893" t="s">
        <v>191</v>
      </c>
      <c r="T25" s="893"/>
    </row>
    <row r="26" spans="2:20" ht="15" customHeight="1" x14ac:dyDescent="0.25">
      <c r="B26" s="898"/>
      <c r="C26" s="891" t="s">
        <v>192</v>
      </c>
      <c r="D26" s="891"/>
      <c r="E26" s="891" t="s">
        <v>177</v>
      </c>
      <c r="F26" s="891"/>
      <c r="G26" s="891" t="s">
        <v>178</v>
      </c>
      <c r="H26" s="891" t="s">
        <v>179</v>
      </c>
      <c r="I26" s="891" t="s">
        <v>190</v>
      </c>
      <c r="J26" s="891"/>
      <c r="K26" s="891" t="s">
        <v>181</v>
      </c>
      <c r="L26" s="891"/>
      <c r="M26" s="915">
        <v>0.5544</v>
      </c>
      <c r="N26" s="915">
        <v>0.49249999999999999</v>
      </c>
      <c r="O26" s="890">
        <f>306/1178</f>
        <v>0.25976230899830222</v>
      </c>
      <c r="P26" s="890">
        <f>623/1531</f>
        <v>0.40692357935989548</v>
      </c>
      <c r="Q26" s="890">
        <f>211/1851</f>
        <v>0.11399243652079957</v>
      </c>
      <c r="R26" s="894">
        <v>0.20399999999999999</v>
      </c>
      <c r="S26" s="891" t="s">
        <v>182</v>
      </c>
      <c r="T26" s="891"/>
    </row>
    <row r="27" spans="2:20" x14ac:dyDescent="0.25">
      <c r="B27" s="905"/>
      <c r="C27" s="883"/>
      <c r="D27" s="883"/>
      <c r="E27" s="883"/>
      <c r="F27" s="883"/>
      <c r="G27" s="883"/>
      <c r="H27" s="883"/>
      <c r="I27" s="883"/>
      <c r="J27" s="883"/>
      <c r="K27" s="883"/>
      <c r="L27" s="883"/>
      <c r="M27" s="887"/>
      <c r="N27" s="887"/>
      <c r="O27" s="887"/>
      <c r="P27" s="888"/>
      <c r="Q27" s="888"/>
      <c r="R27" s="895"/>
      <c r="S27" s="883" t="s">
        <v>183</v>
      </c>
      <c r="T27" s="883"/>
    </row>
    <row r="28" spans="2:20" x14ac:dyDescent="0.25">
      <c r="B28" s="905"/>
      <c r="C28" s="883"/>
      <c r="D28" s="883"/>
      <c r="E28" s="883"/>
      <c r="F28" s="883"/>
      <c r="G28" s="883"/>
      <c r="H28" s="883"/>
      <c r="I28" s="883"/>
      <c r="J28" s="883"/>
      <c r="K28" s="883"/>
      <c r="L28" s="883"/>
      <c r="M28" s="887"/>
      <c r="N28" s="887"/>
      <c r="O28" s="887"/>
      <c r="P28" s="888"/>
      <c r="Q28" s="888"/>
      <c r="R28" s="895"/>
      <c r="S28" s="883" t="s">
        <v>184</v>
      </c>
      <c r="T28" s="883"/>
    </row>
    <row r="29" spans="2:20" ht="36" customHeight="1" thickBot="1" x14ac:dyDescent="0.3">
      <c r="B29" s="906"/>
      <c r="C29" s="884"/>
      <c r="D29" s="884"/>
      <c r="E29" s="884" t="s">
        <v>185</v>
      </c>
      <c r="F29" s="884"/>
      <c r="G29" s="884"/>
      <c r="H29" s="884"/>
      <c r="I29" s="884"/>
      <c r="J29" s="884"/>
      <c r="K29" s="884"/>
      <c r="L29" s="884"/>
      <c r="M29" s="914"/>
      <c r="N29" s="914"/>
      <c r="O29" s="901"/>
      <c r="P29" s="889"/>
      <c r="Q29" s="889"/>
      <c r="R29" s="896"/>
      <c r="S29" s="884" t="s">
        <v>186</v>
      </c>
      <c r="T29" s="884"/>
    </row>
    <row r="30" spans="2:20" ht="42" customHeight="1" thickBot="1" x14ac:dyDescent="0.3">
      <c r="B30" s="209"/>
      <c r="C30" s="893" t="s">
        <v>193</v>
      </c>
      <c r="D30" s="893"/>
      <c r="E30" s="893" t="s">
        <v>194</v>
      </c>
      <c r="F30" s="893"/>
      <c r="G30" s="210" t="s">
        <v>178</v>
      </c>
      <c r="H30" s="210" t="s">
        <v>179</v>
      </c>
      <c r="I30" s="893" t="s">
        <v>180</v>
      </c>
      <c r="J30" s="893"/>
      <c r="K30" s="893" t="s">
        <v>181</v>
      </c>
      <c r="L30" s="893"/>
      <c r="M30" s="211">
        <v>0.4667</v>
      </c>
      <c r="N30" s="211">
        <v>0.3846</v>
      </c>
      <c r="O30" s="412">
        <f>5/15</f>
        <v>0.33333333333333331</v>
      </c>
      <c r="P30" s="412">
        <f>4/22</f>
        <v>0.18181818181818182</v>
      </c>
      <c r="Q30" s="412">
        <f>1/12</f>
        <v>8.3333333333333329E-2</v>
      </c>
      <c r="R30" s="689">
        <v>7.1400000000000005E-2</v>
      </c>
      <c r="S30" s="893" t="s">
        <v>186</v>
      </c>
      <c r="T30" s="893"/>
    </row>
    <row r="31" spans="2:20" ht="42" customHeight="1" thickBot="1" x14ac:dyDescent="0.3">
      <c r="B31" s="209"/>
      <c r="C31" s="893" t="s">
        <v>195</v>
      </c>
      <c r="D31" s="893"/>
      <c r="E31" s="893" t="s">
        <v>194</v>
      </c>
      <c r="F31" s="893"/>
      <c r="G31" s="210" t="s">
        <v>178</v>
      </c>
      <c r="H31" s="210" t="s">
        <v>179</v>
      </c>
      <c r="I31" s="893" t="s">
        <v>180</v>
      </c>
      <c r="J31" s="893"/>
      <c r="K31" s="893" t="s">
        <v>181</v>
      </c>
      <c r="L31" s="893"/>
      <c r="M31" s="211">
        <v>0.5</v>
      </c>
      <c r="N31" s="211">
        <v>0.36840000000000001</v>
      </c>
      <c r="O31" s="412">
        <f>6/19</f>
        <v>0.31578947368421051</v>
      </c>
      <c r="P31" s="412">
        <f>4/25</f>
        <v>0.16</v>
      </c>
      <c r="Q31" s="412">
        <f>2/19</f>
        <v>0.10526315789473684</v>
      </c>
      <c r="R31" s="689">
        <v>0.15</v>
      </c>
      <c r="S31" s="893" t="s">
        <v>186</v>
      </c>
      <c r="T31" s="893"/>
    </row>
    <row r="32" spans="2:20" ht="42" customHeight="1" thickBot="1" x14ac:dyDescent="0.3">
      <c r="B32" s="209"/>
      <c r="C32" s="893" t="s">
        <v>878</v>
      </c>
      <c r="D32" s="893"/>
      <c r="E32" s="893" t="s">
        <v>194</v>
      </c>
      <c r="F32" s="893"/>
      <c r="G32" s="210" t="s">
        <v>178</v>
      </c>
      <c r="H32" s="210" t="s">
        <v>179</v>
      </c>
      <c r="I32" s="893" t="s">
        <v>180</v>
      </c>
      <c r="J32" s="893"/>
      <c r="K32" s="893" t="s">
        <v>181</v>
      </c>
      <c r="L32" s="893"/>
      <c r="M32" s="211">
        <v>0.56569999999999998</v>
      </c>
      <c r="N32" s="211">
        <v>0.1759</v>
      </c>
      <c r="O32" s="412">
        <f>60/136</f>
        <v>0.44117647058823528</v>
      </c>
      <c r="P32" s="412">
        <f>31/151</f>
        <v>0.20529801324503311</v>
      </c>
      <c r="Q32" s="412">
        <v>6.3299999999999995E-2</v>
      </c>
      <c r="R32" s="689">
        <v>0.1032</v>
      </c>
      <c r="S32" s="893"/>
      <c r="T32" s="893"/>
    </row>
    <row r="33" spans="2:20" ht="45.75" customHeight="1" x14ac:dyDescent="0.25">
      <c r="B33" s="207"/>
      <c r="C33" s="883" t="s">
        <v>879</v>
      </c>
      <c r="D33" s="883"/>
      <c r="E33" s="883" t="s">
        <v>185</v>
      </c>
      <c r="F33" s="883"/>
      <c r="G33" s="205" t="s">
        <v>178</v>
      </c>
      <c r="H33" s="205" t="s">
        <v>179</v>
      </c>
      <c r="I33" s="883" t="s">
        <v>180</v>
      </c>
      <c r="J33" s="883"/>
      <c r="K33" s="883" t="s">
        <v>181</v>
      </c>
      <c r="L33" s="883"/>
      <c r="M33" s="423" t="s">
        <v>51</v>
      </c>
      <c r="N33" s="423" t="s">
        <v>51</v>
      </c>
      <c r="O33" s="423">
        <f>5/136</f>
        <v>3.6764705882352942E-2</v>
      </c>
      <c r="P33" s="423" t="s">
        <v>51</v>
      </c>
      <c r="Q33" s="423" t="s">
        <v>51</v>
      </c>
      <c r="R33" s="423" t="s">
        <v>51</v>
      </c>
      <c r="S33" s="883"/>
      <c r="T33" s="883"/>
    </row>
    <row r="34" spans="2:20" ht="15" customHeight="1" x14ac:dyDescent="0.25">
      <c r="B34" s="910" t="s">
        <v>196</v>
      </c>
      <c r="C34" s="910"/>
      <c r="D34" s="910"/>
      <c r="E34" s="910"/>
      <c r="F34" s="910"/>
      <c r="G34" s="910"/>
      <c r="H34" s="910"/>
      <c r="I34" s="910"/>
      <c r="J34" s="220"/>
      <c r="K34" s="909"/>
      <c r="L34" s="909"/>
      <c r="M34" s="554"/>
      <c r="N34" s="554"/>
      <c r="O34" s="554"/>
      <c r="P34" s="554"/>
      <c r="Q34" s="555"/>
      <c r="R34" s="554"/>
      <c r="S34" s="554"/>
      <c r="T34" s="554"/>
    </row>
    <row r="35" spans="2:20" ht="36.75" customHeight="1" x14ac:dyDescent="0.25">
      <c r="B35" s="905"/>
      <c r="C35" s="883" t="s">
        <v>872</v>
      </c>
      <c r="D35" s="883"/>
      <c r="E35" s="883" t="s">
        <v>197</v>
      </c>
      <c r="F35" s="883"/>
      <c r="G35" s="883" t="s">
        <v>178</v>
      </c>
      <c r="H35" s="883" t="s">
        <v>179</v>
      </c>
      <c r="I35" s="883" t="s">
        <v>180</v>
      </c>
      <c r="J35" s="883"/>
      <c r="K35" s="883" t="s">
        <v>181</v>
      </c>
      <c r="L35" s="883"/>
      <c r="M35" s="883" t="s">
        <v>51</v>
      </c>
      <c r="N35" s="883" t="s">
        <v>51</v>
      </c>
      <c r="O35" s="883" t="s">
        <v>51</v>
      </c>
      <c r="P35" s="883" t="s">
        <v>51</v>
      </c>
      <c r="Q35" s="883" t="s">
        <v>51</v>
      </c>
      <c r="R35" s="883" t="s">
        <v>51</v>
      </c>
      <c r="S35" s="883"/>
      <c r="T35" s="883"/>
    </row>
    <row r="36" spans="2:20" ht="39.75" customHeight="1" x14ac:dyDescent="0.25">
      <c r="B36" s="905"/>
      <c r="C36" s="883"/>
      <c r="D36" s="883"/>
      <c r="E36" s="883" t="s">
        <v>198</v>
      </c>
      <c r="F36" s="883"/>
      <c r="G36" s="883"/>
      <c r="H36" s="883"/>
      <c r="I36" s="883"/>
      <c r="J36" s="883"/>
      <c r="K36" s="883"/>
      <c r="L36" s="883"/>
      <c r="M36" s="883"/>
      <c r="N36" s="883"/>
      <c r="O36" s="883"/>
      <c r="P36" s="888"/>
      <c r="Q36" s="888"/>
      <c r="R36" s="883"/>
      <c r="S36" s="883"/>
      <c r="T36" s="883"/>
    </row>
    <row r="37" spans="2:20" ht="27" customHeight="1" x14ac:dyDescent="0.25">
      <c r="B37" s="905"/>
      <c r="C37" s="883"/>
      <c r="D37" s="883"/>
      <c r="E37" s="883" t="s">
        <v>199</v>
      </c>
      <c r="F37" s="883"/>
      <c r="G37" s="883"/>
      <c r="H37" s="883"/>
      <c r="I37" s="883"/>
      <c r="J37" s="883"/>
      <c r="K37" s="883"/>
      <c r="L37" s="883"/>
      <c r="M37" s="883"/>
      <c r="N37" s="883"/>
      <c r="O37" s="883"/>
      <c r="P37" s="888"/>
      <c r="Q37" s="888"/>
      <c r="R37" s="883"/>
      <c r="S37" s="883"/>
      <c r="T37" s="883"/>
    </row>
    <row r="38" spans="2:20" ht="45" customHeight="1" x14ac:dyDescent="0.25">
      <c r="B38" s="905"/>
      <c r="C38" s="883"/>
      <c r="D38" s="883"/>
      <c r="E38" s="883" t="s">
        <v>200</v>
      </c>
      <c r="F38" s="883"/>
      <c r="G38" s="883"/>
      <c r="H38" s="883"/>
      <c r="I38" s="883"/>
      <c r="J38" s="883"/>
      <c r="K38" s="883"/>
      <c r="L38" s="883"/>
      <c r="M38" s="883"/>
      <c r="N38" s="883"/>
      <c r="O38" s="883"/>
      <c r="P38" s="888"/>
      <c r="Q38" s="888"/>
      <c r="R38" s="883"/>
      <c r="S38" s="883"/>
      <c r="T38" s="883"/>
    </row>
    <row r="39" spans="2:20" ht="26.25" customHeight="1" x14ac:dyDescent="0.25">
      <c r="B39" s="905"/>
      <c r="C39" s="883"/>
      <c r="D39" s="883"/>
      <c r="E39" s="883" t="s">
        <v>201</v>
      </c>
      <c r="F39" s="883"/>
      <c r="G39" s="883"/>
      <c r="H39" s="883"/>
      <c r="I39" s="883"/>
      <c r="J39" s="883"/>
      <c r="K39" s="883"/>
      <c r="L39" s="883"/>
      <c r="M39" s="883"/>
      <c r="N39" s="883"/>
      <c r="O39" s="883"/>
      <c r="P39" s="888"/>
      <c r="Q39" s="888"/>
      <c r="R39" s="883"/>
      <c r="S39" s="883"/>
      <c r="T39" s="883"/>
    </row>
    <row r="40" spans="2:20" ht="27.75" customHeight="1" x14ac:dyDescent="0.25">
      <c r="B40" s="905"/>
      <c r="C40" s="883"/>
      <c r="D40" s="883"/>
      <c r="E40" s="883" t="s">
        <v>202</v>
      </c>
      <c r="F40" s="883"/>
      <c r="G40" s="883"/>
      <c r="H40" s="883"/>
      <c r="I40" s="883"/>
      <c r="J40" s="883"/>
      <c r="K40" s="883"/>
      <c r="L40" s="883"/>
      <c r="M40" s="883"/>
      <c r="N40" s="883"/>
      <c r="O40" s="883"/>
      <c r="P40" s="888"/>
      <c r="Q40" s="888"/>
      <c r="R40" s="883"/>
      <c r="S40" s="883"/>
      <c r="T40" s="883"/>
    </row>
    <row r="41" spans="2:20" ht="24.75" customHeight="1" x14ac:dyDescent="0.25">
      <c r="B41" s="905"/>
      <c r="C41" s="883"/>
      <c r="D41" s="883"/>
      <c r="E41" s="883" t="s">
        <v>203</v>
      </c>
      <c r="F41" s="883"/>
      <c r="G41" s="883"/>
      <c r="H41" s="883"/>
      <c r="I41" s="883"/>
      <c r="J41" s="883"/>
      <c r="K41" s="883"/>
      <c r="L41" s="883"/>
      <c r="M41" s="883"/>
      <c r="N41" s="883"/>
      <c r="O41" s="883"/>
      <c r="P41" s="888"/>
      <c r="Q41" s="888"/>
      <c r="R41" s="883"/>
      <c r="S41" s="883"/>
      <c r="T41" s="883"/>
    </row>
    <row r="42" spans="2:20" ht="26.25" customHeight="1" x14ac:dyDescent="0.25">
      <c r="B42" s="905"/>
      <c r="C42" s="883"/>
      <c r="D42" s="883"/>
      <c r="E42" s="883" t="s">
        <v>204</v>
      </c>
      <c r="F42" s="883"/>
      <c r="G42" s="883"/>
      <c r="H42" s="883"/>
      <c r="I42" s="883"/>
      <c r="J42" s="883"/>
      <c r="K42" s="883"/>
      <c r="L42" s="883"/>
      <c r="M42" s="883"/>
      <c r="N42" s="883"/>
      <c r="O42" s="883"/>
      <c r="P42" s="888"/>
      <c r="Q42" s="888"/>
      <c r="R42" s="883"/>
      <c r="S42" s="883"/>
      <c r="T42" s="883"/>
    </row>
    <row r="43" spans="2:20" ht="37.5" customHeight="1" thickBot="1" x14ac:dyDescent="0.3">
      <c r="B43" s="906"/>
      <c r="C43" s="884"/>
      <c r="D43" s="884"/>
      <c r="E43" s="884" t="s">
        <v>205</v>
      </c>
      <c r="F43" s="884"/>
      <c r="G43" s="884"/>
      <c r="H43" s="884"/>
      <c r="I43" s="884"/>
      <c r="J43" s="884"/>
      <c r="K43" s="884"/>
      <c r="L43" s="884"/>
      <c r="M43" s="884"/>
      <c r="N43" s="884"/>
      <c r="O43" s="897"/>
      <c r="P43" s="889"/>
      <c r="Q43" s="889"/>
      <c r="R43" s="884"/>
      <c r="S43" s="884"/>
      <c r="T43" s="884"/>
    </row>
    <row r="44" spans="2:20" ht="47.25" customHeight="1" thickBot="1" x14ac:dyDescent="0.3">
      <c r="B44" s="209"/>
      <c r="C44" s="907" t="s">
        <v>873</v>
      </c>
      <c r="D44" s="907"/>
      <c r="E44" s="893" t="s">
        <v>206</v>
      </c>
      <c r="F44" s="893"/>
      <c r="G44" s="210" t="s">
        <v>178</v>
      </c>
      <c r="H44" s="210" t="s">
        <v>179</v>
      </c>
      <c r="I44" s="893" t="s">
        <v>180</v>
      </c>
      <c r="J44" s="893"/>
      <c r="K44" s="893" t="s">
        <v>181</v>
      </c>
      <c r="L44" s="893"/>
      <c r="M44" s="211">
        <v>0.83330000000000004</v>
      </c>
      <c r="N44" s="211">
        <v>0.5</v>
      </c>
      <c r="O44" s="412">
        <f>27/31</f>
        <v>0.87096774193548387</v>
      </c>
      <c r="P44" s="412">
        <f>18/28</f>
        <v>0.6428571428571429</v>
      </c>
      <c r="Q44" s="412">
        <v>0.61539999999999995</v>
      </c>
      <c r="R44" s="689">
        <v>0.3448</v>
      </c>
      <c r="S44" s="919"/>
      <c r="T44" s="919"/>
    </row>
    <row r="45" spans="2:20" ht="39.75" customHeight="1" x14ac:dyDescent="0.25">
      <c r="B45" s="206"/>
      <c r="C45" s="844" t="s">
        <v>874</v>
      </c>
      <c r="D45" s="844"/>
      <c r="E45" s="883" t="s">
        <v>207</v>
      </c>
      <c r="F45" s="883"/>
      <c r="G45" s="205" t="s">
        <v>178</v>
      </c>
      <c r="H45" s="205" t="s">
        <v>179</v>
      </c>
      <c r="I45" s="883" t="s">
        <v>180</v>
      </c>
      <c r="J45" s="883"/>
      <c r="K45" s="883" t="s">
        <v>181</v>
      </c>
      <c r="L45" s="883"/>
      <c r="M45" s="206" t="s">
        <v>51</v>
      </c>
      <c r="N45" s="423">
        <v>0.55559999999999998</v>
      </c>
      <c r="O45" s="423">
        <f>9/10</f>
        <v>0.9</v>
      </c>
      <c r="P45" s="423" t="s">
        <v>51</v>
      </c>
      <c r="Q45" s="423" t="s">
        <v>51</v>
      </c>
      <c r="R45" s="423" t="s">
        <v>51</v>
      </c>
      <c r="S45" s="891"/>
      <c r="T45" s="891"/>
    </row>
    <row r="46" spans="2:20" x14ac:dyDescent="0.25">
      <c r="B46" s="909" t="s">
        <v>208</v>
      </c>
      <c r="C46" s="909"/>
      <c r="D46" s="909"/>
      <c r="E46" s="909"/>
      <c r="F46" s="910"/>
      <c r="G46" s="910"/>
      <c r="H46" s="910"/>
      <c r="I46" s="910"/>
      <c r="J46" s="220"/>
      <c r="K46" s="911"/>
      <c r="L46" s="911"/>
      <c r="M46" s="554"/>
      <c r="N46" s="554"/>
      <c r="O46" s="554"/>
      <c r="P46" s="554"/>
      <c r="Q46" s="554"/>
      <c r="R46" s="554"/>
      <c r="S46" s="544"/>
      <c r="T46" s="544"/>
    </row>
    <row r="47" spans="2:20" ht="21" customHeight="1" x14ac:dyDescent="0.25">
      <c r="B47" s="912"/>
      <c r="C47" s="844" t="s">
        <v>209</v>
      </c>
      <c r="D47" s="844"/>
      <c r="E47" s="883" t="s">
        <v>177</v>
      </c>
      <c r="F47" s="883"/>
      <c r="G47" s="883" t="s">
        <v>178</v>
      </c>
      <c r="H47" s="883" t="s">
        <v>179</v>
      </c>
      <c r="I47" s="883" t="s">
        <v>180</v>
      </c>
      <c r="J47" s="883"/>
      <c r="K47" s="883" t="s">
        <v>181</v>
      </c>
      <c r="L47" s="883"/>
      <c r="M47" s="887">
        <v>0.32350000000000001</v>
      </c>
      <c r="N47" s="887">
        <v>0.18509999999999999</v>
      </c>
      <c r="O47" s="887">
        <f>8/17</f>
        <v>0.47058823529411764</v>
      </c>
      <c r="P47" s="887">
        <f>4/20</f>
        <v>0.2</v>
      </c>
      <c r="Q47" s="887">
        <v>0.1333</v>
      </c>
      <c r="R47" s="887">
        <v>0</v>
      </c>
      <c r="S47" s="883"/>
      <c r="T47" s="883"/>
    </row>
    <row r="48" spans="2:20" ht="41.25" customHeight="1" thickBot="1" x14ac:dyDescent="0.3">
      <c r="B48" s="913"/>
      <c r="C48" s="846"/>
      <c r="D48" s="846"/>
      <c r="E48" s="884" t="s">
        <v>185</v>
      </c>
      <c r="F48" s="884"/>
      <c r="G48" s="884"/>
      <c r="H48" s="884"/>
      <c r="I48" s="884"/>
      <c r="J48" s="884"/>
      <c r="K48" s="884"/>
      <c r="L48" s="884"/>
      <c r="M48" s="914"/>
      <c r="N48" s="914"/>
      <c r="O48" s="901"/>
      <c r="P48" s="901"/>
      <c r="Q48" s="901"/>
      <c r="R48" s="914"/>
      <c r="S48" s="884"/>
      <c r="T48" s="884"/>
    </row>
    <row r="49" spans="2:20" ht="21" customHeight="1" x14ac:dyDescent="0.25">
      <c r="B49" s="905"/>
      <c r="C49" s="883" t="s">
        <v>875</v>
      </c>
      <c r="D49" s="883"/>
      <c r="E49" s="883" t="s">
        <v>210</v>
      </c>
      <c r="F49" s="883"/>
      <c r="G49" s="883" t="s">
        <v>178</v>
      </c>
      <c r="H49" s="883" t="s">
        <v>179</v>
      </c>
      <c r="I49" s="883" t="s">
        <v>180</v>
      </c>
      <c r="J49" s="883"/>
      <c r="K49" s="883" t="s">
        <v>988</v>
      </c>
      <c r="L49" s="883"/>
      <c r="M49" s="915">
        <v>0.53800000000000003</v>
      </c>
      <c r="N49" s="915">
        <v>0.42899999999999999</v>
      </c>
      <c r="O49" s="890">
        <v>0.5</v>
      </c>
      <c r="P49" s="887" t="s">
        <v>51</v>
      </c>
      <c r="Q49" s="887">
        <v>0.56000000000000005</v>
      </c>
      <c r="R49" s="915">
        <v>0.57699999999999996</v>
      </c>
      <c r="S49" s="883" t="s">
        <v>182</v>
      </c>
      <c r="T49" s="883"/>
    </row>
    <row r="50" spans="2:20" ht="21" customHeight="1" x14ac:dyDescent="0.25">
      <c r="B50" s="905"/>
      <c r="C50" s="883"/>
      <c r="D50" s="883"/>
      <c r="E50" s="883" t="s">
        <v>177</v>
      </c>
      <c r="F50" s="883"/>
      <c r="G50" s="883"/>
      <c r="H50" s="883"/>
      <c r="I50" s="883"/>
      <c r="J50" s="883"/>
      <c r="K50" s="883"/>
      <c r="L50" s="883"/>
      <c r="M50" s="887"/>
      <c r="N50" s="887"/>
      <c r="O50" s="887"/>
      <c r="P50" s="888"/>
      <c r="Q50" s="888"/>
      <c r="R50" s="887"/>
      <c r="S50" s="883" t="s">
        <v>183</v>
      </c>
      <c r="T50" s="883"/>
    </row>
    <row r="51" spans="2:20" ht="16.5" customHeight="1" x14ac:dyDescent="0.25">
      <c r="B51" s="905"/>
      <c r="C51" s="883"/>
      <c r="D51" s="883"/>
      <c r="E51" s="883" t="s">
        <v>185</v>
      </c>
      <c r="F51" s="883"/>
      <c r="G51" s="883"/>
      <c r="H51" s="883"/>
      <c r="I51" s="883"/>
      <c r="J51" s="883"/>
      <c r="K51" s="883"/>
      <c r="L51" s="883"/>
      <c r="M51" s="887"/>
      <c r="N51" s="887"/>
      <c r="O51" s="887"/>
      <c r="P51" s="888"/>
      <c r="Q51" s="888"/>
      <c r="R51" s="887"/>
      <c r="S51" s="883" t="s">
        <v>191</v>
      </c>
      <c r="T51" s="883"/>
    </row>
    <row r="52" spans="2:20" x14ac:dyDescent="0.25">
      <c r="B52" s="905"/>
      <c r="C52" s="883"/>
      <c r="D52" s="883"/>
      <c r="E52" s="883"/>
      <c r="F52" s="883"/>
      <c r="G52" s="883"/>
      <c r="H52" s="883"/>
      <c r="I52" s="883"/>
      <c r="J52" s="883"/>
      <c r="K52" s="883"/>
      <c r="L52" s="883"/>
      <c r="M52" s="887"/>
      <c r="N52" s="887"/>
      <c r="O52" s="887"/>
      <c r="P52" s="888"/>
      <c r="Q52" s="888"/>
      <c r="R52" s="887"/>
      <c r="S52" s="883" t="s">
        <v>184</v>
      </c>
      <c r="T52" s="883"/>
    </row>
    <row r="53" spans="2:20" ht="15.75" thickBot="1" x14ac:dyDescent="0.3">
      <c r="B53" s="906"/>
      <c r="C53" s="884"/>
      <c r="D53" s="884"/>
      <c r="E53" s="884"/>
      <c r="F53" s="884"/>
      <c r="G53" s="884"/>
      <c r="H53" s="884"/>
      <c r="I53" s="884"/>
      <c r="J53" s="884"/>
      <c r="K53" s="884"/>
      <c r="L53" s="884"/>
      <c r="M53" s="914"/>
      <c r="N53" s="914"/>
      <c r="O53" s="901"/>
      <c r="P53" s="889"/>
      <c r="Q53" s="889"/>
      <c r="R53" s="914"/>
      <c r="S53" s="884" t="s">
        <v>186</v>
      </c>
      <c r="T53" s="884"/>
    </row>
    <row r="54" spans="2:20" ht="18.75" customHeight="1" x14ac:dyDescent="0.25">
      <c r="B54" s="905"/>
      <c r="C54" s="883" t="s">
        <v>876</v>
      </c>
      <c r="D54" s="883"/>
      <c r="E54" s="883" t="s">
        <v>211</v>
      </c>
      <c r="F54" s="883"/>
      <c r="G54" s="883" t="s">
        <v>178</v>
      </c>
      <c r="H54" s="883" t="s">
        <v>179</v>
      </c>
      <c r="I54" s="883" t="s">
        <v>212</v>
      </c>
      <c r="J54" s="883"/>
      <c r="K54" s="883" t="s">
        <v>634</v>
      </c>
      <c r="L54" s="883"/>
      <c r="M54" s="898" t="s">
        <v>51</v>
      </c>
      <c r="N54" s="915">
        <v>0.438</v>
      </c>
      <c r="O54" s="890" t="s">
        <v>51</v>
      </c>
      <c r="P54" s="887" t="s">
        <v>51</v>
      </c>
      <c r="Q54" s="887">
        <v>0.56699999999999995</v>
      </c>
      <c r="R54" s="916">
        <v>0.46800000000000003</v>
      </c>
      <c r="S54" s="883" t="s">
        <v>186</v>
      </c>
      <c r="T54" s="883"/>
    </row>
    <row r="55" spans="2:20" ht="30.75" customHeight="1" thickBot="1" x14ac:dyDescent="0.3">
      <c r="B55" s="906"/>
      <c r="C55" s="884"/>
      <c r="D55" s="884"/>
      <c r="E55" s="884" t="s">
        <v>213</v>
      </c>
      <c r="F55" s="884"/>
      <c r="G55" s="884"/>
      <c r="H55" s="884"/>
      <c r="I55" s="884"/>
      <c r="J55" s="884"/>
      <c r="K55" s="884"/>
      <c r="L55" s="884"/>
      <c r="M55" s="906"/>
      <c r="N55" s="914"/>
      <c r="O55" s="901"/>
      <c r="P55" s="889"/>
      <c r="Q55" s="889"/>
      <c r="R55" s="917"/>
      <c r="S55" s="884"/>
      <c r="T55" s="884"/>
    </row>
    <row r="56" spans="2:20" ht="21" customHeight="1" x14ac:dyDescent="0.25">
      <c r="B56" s="898"/>
      <c r="C56" s="902" t="s">
        <v>877</v>
      </c>
      <c r="D56" s="902"/>
      <c r="E56" s="891" t="s">
        <v>211</v>
      </c>
      <c r="F56" s="891"/>
      <c r="G56" s="891" t="s">
        <v>178</v>
      </c>
      <c r="H56" s="891" t="s">
        <v>214</v>
      </c>
      <c r="I56" s="898" t="s">
        <v>51</v>
      </c>
      <c r="J56" s="898"/>
      <c r="K56" s="891" t="s">
        <v>181</v>
      </c>
      <c r="L56" s="891"/>
      <c r="M56" s="898" t="s">
        <v>51</v>
      </c>
      <c r="N56" s="898" t="s">
        <v>51</v>
      </c>
      <c r="O56" s="890" t="s">
        <v>51</v>
      </c>
      <c r="P56" s="890" t="s">
        <v>51</v>
      </c>
      <c r="Q56" s="890" t="s">
        <v>51</v>
      </c>
      <c r="R56" s="898" t="s">
        <v>51</v>
      </c>
      <c r="S56" s="891"/>
      <c r="T56" s="891"/>
    </row>
    <row r="57" spans="2:20" ht="28.5" customHeight="1" thickBot="1" x14ac:dyDescent="0.3">
      <c r="B57" s="899"/>
      <c r="C57" s="873"/>
      <c r="D57" s="873"/>
      <c r="E57" s="873" t="s">
        <v>213</v>
      </c>
      <c r="F57" s="873"/>
      <c r="G57" s="892"/>
      <c r="H57" s="892"/>
      <c r="I57" s="899"/>
      <c r="J57" s="899"/>
      <c r="K57" s="892"/>
      <c r="L57" s="892"/>
      <c r="M57" s="899"/>
      <c r="N57" s="899"/>
      <c r="O57" s="920"/>
      <c r="P57" s="886"/>
      <c r="Q57" s="886"/>
      <c r="R57" s="899"/>
      <c r="S57" s="892"/>
      <c r="T57" s="892"/>
    </row>
    <row r="58" spans="2:20" x14ac:dyDescent="0.25">
      <c r="M58" s="6"/>
      <c r="N58" s="6"/>
      <c r="O58" s="6"/>
      <c r="P58" s="556"/>
      <c r="Q58" s="6"/>
      <c r="R58" s="6"/>
    </row>
    <row r="60" spans="2:20" x14ac:dyDescent="0.25">
      <c r="B60" s="903" t="s">
        <v>8</v>
      </c>
      <c r="C60" s="903"/>
      <c r="D60" s="903"/>
      <c r="E60" s="903"/>
      <c r="F60" s="903"/>
      <c r="G60" s="903"/>
      <c r="H60" s="903"/>
      <c r="I60" s="903"/>
      <c r="J60" s="262"/>
      <c r="K60" s="903"/>
      <c r="L60" s="903"/>
      <c r="M60" s="903"/>
      <c r="N60" s="903"/>
      <c r="O60" s="904"/>
      <c r="P60" s="904"/>
      <c r="Q60" s="904"/>
      <c r="R60" s="904"/>
      <c r="S60" s="904"/>
      <c r="T60" s="904"/>
    </row>
    <row r="61" spans="2:20" x14ac:dyDescent="0.25">
      <c r="B61" s="767" t="s">
        <v>165</v>
      </c>
      <c r="C61" s="767" t="s">
        <v>166</v>
      </c>
      <c r="D61" s="767"/>
      <c r="E61" s="767" t="s">
        <v>167</v>
      </c>
      <c r="F61" s="767"/>
      <c r="G61" s="767" t="s">
        <v>168</v>
      </c>
      <c r="H61" s="767" t="s">
        <v>169</v>
      </c>
      <c r="I61" s="767" t="s">
        <v>170</v>
      </c>
      <c r="J61" s="767"/>
      <c r="K61" s="767" t="s">
        <v>171</v>
      </c>
      <c r="L61" s="767"/>
      <c r="M61" s="767" t="s">
        <v>250</v>
      </c>
      <c r="N61" s="767"/>
      <c r="O61" s="767"/>
      <c r="P61" s="767"/>
      <c r="Q61" s="767"/>
      <c r="R61" s="767"/>
      <c r="S61" s="767" t="s">
        <v>172</v>
      </c>
      <c r="T61" s="767"/>
    </row>
    <row r="62" spans="2:20" x14ac:dyDescent="0.25">
      <c r="B62" s="771"/>
      <c r="C62" s="771"/>
      <c r="D62" s="771"/>
      <c r="E62" s="771"/>
      <c r="F62" s="771"/>
      <c r="G62" s="771"/>
      <c r="H62" s="771"/>
      <c r="I62" s="771"/>
      <c r="J62" s="771"/>
      <c r="K62" s="771"/>
      <c r="L62" s="771"/>
      <c r="M62" s="163" t="s">
        <v>173</v>
      </c>
      <c r="N62" s="163" t="s">
        <v>174</v>
      </c>
      <c r="O62" s="163" t="s">
        <v>891</v>
      </c>
      <c r="P62" s="163" t="s">
        <v>959</v>
      </c>
      <c r="Q62" s="163" t="s">
        <v>1128</v>
      </c>
      <c r="R62" s="163" t="s">
        <v>1232</v>
      </c>
      <c r="S62" s="771"/>
      <c r="T62" s="771"/>
    </row>
    <row r="63" spans="2:20" ht="15.75" thickBot="1" x14ac:dyDescent="0.3">
      <c r="B63" s="909" t="s">
        <v>175</v>
      </c>
      <c r="C63" s="909"/>
      <c r="D63" s="909"/>
      <c r="E63" s="909"/>
      <c r="F63" s="909"/>
      <c r="G63" s="909"/>
      <c r="H63" s="909"/>
      <c r="I63" s="909"/>
      <c r="J63" s="219"/>
      <c r="K63" s="909"/>
      <c r="L63" s="909"/>
      <c r="M63" s="908"/>
      <c r="N63" s="908"/>
      <c r="O63" s="908"/>
      <c r="P63" s="908"/>
      <c r="Q63" s="908"/>
      <c r="R63" s="908"/>
      <c r="S63" s="908"/>
      <c r="T63" s="908"/>
    </row>
    <row r="64" spans="2:20" ht="15" customHeight="1" x14ac:dyDescent="0.25">
      <c r="B64" s="883"/>
      <c r="C64" s="883" t="s">
        <v>176</v>
      </c>
      <c r="D64" s="883"/>
      <c r="E64" s="883" t="s">
        <v>177</v>
      </c>
      <c r="F64" s="883"/>
      <c r="G64" s="883" t="s">
        <v>178</v>
      </c>
      <c r="H64" s="883" t="s">
        <v>179</v>
      </c>
      <c r="I64" s="883" t="s">
        <v>180</v>
      </c>
      <c r="J64" s="883"/>
      <c r="K64" s="883" t="s">
        <v>181</v>
      </c>
      <c r="L64" s="883"/>
      <c r="M64" s="887">
        <v>0.90480000000000005</v>
      </c>
      <c r="N64" s="887">
        <v>0.7288</v>
      </c>
      <c r="O64" s="887">
        <f>50/55</f>
        <v>0.90909090909090906</v>
      </c>
      <c r="P64" s="887">
        <f>22/65</f>
        <v>0.33846153846153848</v>
      </c>
      <c r="Q64" s="887">
        <v>0.1358</v>
      </c>
      <c r="R64" s="894">
        <v>0.2</v>
      </c>
      <c r="S64" s="883" t="s">
        <v>182</v>
      </c>
      <c r="T64" s="883"/>
    </row>
    <row r="65" spans="2:20" x14ac:dyDescent="0.25">
      <c r="B65" s="883"/>
      <c r="C65" s="883"/>
      <c r="D65" s="883"/>
      <c r="E65" s="883"/>
      <c r="F65" s="883"/>
      <c r="G65" s="883"/>
      <c r="H65" s="883"/>
      <c r="I65" s="883"/>
      <c r="J65" s="883"/>
      <c r="K65" s="883"/>
      <c r="L65" s="883"/>
      <c r="M65" s="887"/>
      <c r="N65" s="887"/>
      <c r="O65" s="887"/>
      <c r="P65" s="888"/>
      <c r="Q65" s="888"/>
      <c r="R65" s="895"/>
      <c r="S65" s="883" t="s">
        <v>183</v>
      </c>
      <c r="T65" s="883"/>
    </row>
    <row r="66" spans="2:20" x14ac:dyDescent="0.25">
      <c r="B66" s="883"/>
      <c r="C66" s="883"/>
      <c r="D66" s="883"/>
      <c r="E66" s="883"/>
      <c r="F66" s="883"/>
      <c r="G66" s="883"/>
      <c r="H66" s="883"/>
      <c r="I66" s="883"/>
      <c r="J66" s="883"/>
      <c r="K66" s="883"/>
      <c r="L66" s="883"/>
      <c r="M66" s="887"/>
      <c r="N66" s="887"/>
      <c r="O66" s="887"/>
      <c r="P66" s="888"/>
      <c r="Q66" s="888"/>
      <c r="R66" s="895"/>
      <c r="S66" s="883" t="s">
        <v>184</v>
      </c>
      <c r="T66" s="883"/>
    </row>
    <row r="67" spans="2:20" ht="36" customHeight="1" thickBot="1" x14ac:dyDescent="0.3">
      <c r="B67" s="884"/>
      <c r="C67" s="884"/>
      <c r="D67" s="884"/>
      <c r="E67" s="884" t="s">
        <v>185</v>
      </c>
      <c r="F67" s="884"/>
      <c r="G67" s="884"/>
      <c r="H67" s="884"/>
      <c r="I67" s="884"/>
      <c r="J67" s="884"/>
      <c r="K67" s="884"/>
      <c r="L67" s="884"/>
      <c r="M67" s="914"/>
      <c r="N67" s="914"/>
      <c r="O67" s="901"/>
      <c r="P67" s="889"/>
      <c r="Q67" s="889"/>
      <c r="R67" s="896"/>
      <c r="S67" s="884" t="s">
        <v>186</v>
      </c>
      <c r="T67" s="884"/>
    </row>
    <row r="68" spans="2:20" ht="15" customHeight="1" x14ac:dyDescent="0.25">
      <c r="B68" s="898"/>
      <c r="C68" s="891" t="s">
        <v>187</v>
      </c>
      <c r="D68" s="891"/>
      <c r="E68" s="891" t="s">
        <v>177</v>
      </c>
      <c r="F68" s="891"/>
      <c r="G68" s="891" t="s">
        <v>178</v>
      </c>
      <c r="H68" s="891" t="s">
        <v>179</v>
      </c>
      <c r="I68" s="891" t="s">
        <v>180</v>
      </c>
      <c r="J68" s="891"/>
      <c r="K68" s="891" t="s">
        <v>181</v>
      </c>
      <c r="L68" s="891"/>
      <c r="M68" s="915">
        <v>0.79049999999999998</v>
      </c>
      <c r="N68" s="915">
        <v>0.42699999999999999</v>
      </c>
      <c r="O68" s="890">
        <f>56/97</f>
        <v>0.57731958762886593</v>
      </c>
      <c r="P68" s="890">
        <f>2/93</f>
        <v>2.1505376344086023E-2</v>
      </c>
      <c r="Q68" s="890">
        <v>0.1019</v>
      </c>
      <c r="R68" s="894">
        <v>4.6300000000000001E-2</v>
      </c>
      <c r="S68" s="891" t="s">
        <v>182</v>
      </c>
      <c r="T68" s="891"/>
    </row>
    <row r="69" spans="2:20" x14ac:dyDescent="0.25">
      <c r="B69" s="905"/>
      <c r="C69" s="883"/>
      <c r="D69" s="883"/>
      <c r="E69" s="883"/>
      <c r="F69" s="883"/>
      <c r="G69" s="883"/>
      <c r="H69" s="883"/>
      <c r="I69" s="883"/>
      <c r="J69" s="883"/>
      <c r="K69" s="883"/>
      <c r="L69" s="883"/>
      <c r="M69" s="887"/>
      <c r="N69" s="887"/>
      <c r="O69" s="887"/>
      <c r="P69" s="888"/>
      <c r="Q69" s="888"/>
      <c r="R69" s="895"/>
      <c r="S69" s="883" t="s">
        <v>183</v>
      </c>
      <c r="T69" s="883"/>
    </row>
    <row r="70" spans="2:20" x14ac:dyDescent="0.25">
      <c r="B70" s="905"/>
      <c r="C70" s="883"/>
      <c r="D70" s="883"/>
      <c r="E70" s="883"/>
      <c r="F70" s="883"/>
      <c r="G70" s="883"/>
      <c r="H70" s="883"/>
      <c r="I70" s="883"/>
      <c r="J70" s="883"/>
      <c r="K70" s="883"/>
      <c r="L70" s="883"/>
      <c r="M70" s="887"/>
      <c r="N70" s="887"/>
      <c r="O70" s="887"/>
      <c r="P70" s="888"/>
      <c r="Q70" s="888"/>
      <c r="R70" s="895"/>
      <c r="S70" s="883" t="s">
        <v>184</v>
      </c>
      <c r="T70" s="883"/>
    </row>
    <row r="71" spans="2:20" ht="37.5" customHeight="1" thickBot="1" x14ac:dyDescent="0.3">
      <c r="B71" s="906"/>
      <c r="C71" s="884"/>
      <c r="D71" s="884"/>
      <c r="E71" s="884" t="s">
        <v>185</v>
      </c>
      <c r="F71" s="884"/>
      <c r="G71" s="884"/>
      <c r="H71" s="884"/>
      <c r="I71" s="884"/>
      <c r="J71" s="884"/>
      <c r="K71" s="884"/>
      <c r="L71" s="884"/>
      <c r="M71" s="914"/>
      <c r="N71" s="914"/>
      <c r="O71" s="901"/>
      <c r="P71" s="889"/>
      <c r="Q71" s="889"/>
      <c r="R71" s="896"/>
      <c r="S71" s="884" t="s">
        <v>186</v>
      </c>
      <c r="T71" s="884"/>
    </row>
    <row r="72" spans="2:20" ht="32.25" customHeight="1" thickBot="1" x14ac:dyDescent="0.3">
      <c r="B72" s="209"/>
      <c r="C72" s="893" t="s">
        <v>188</v>
      </c>
      <c r="D72" s="893"/>
      <c r="E72" s="893" t="s">
        <v>189</v>
      </c>
      <c r="F72" s="893"/>
      <c r="G72" s="210" t="s">
        <v>178</v>
      </c>
      <c r="H72" s="210" t="s">
        <v>179</v>
      </c>
      <c r="I72" s="893" t="s">
        <v>190</v>
      </c>
      <c r="J72" s="893"/>
      <c r="K72" s="893" t="s">
        <v>181</v>
      </c>
      <c r="L72" s="893"/>
      <c r="M72" s="211">
        <v>0.25</v>
      </c>
      <c r="N72" s="211">
        <v>0.36919999999999997</v>
      </c>
      <c r="O72" s="412">
        <f>1239/2652</f>
        <v>0.46719457013574661</v>
      </c>
      <c r="P72" s="412">
        <f>797/1960</f>
        <v>0.40663265306122448</v>
      </c>
      <c r="Q72" s="412">
        <f>581/2983</f>
        <v>0.19477036540395576</v>
      </c>
      <c r="R72" s="689">
        <v>0.26769999999999999</v>
      </c>
      <c r="S72" s="893" t="s">
        <v>191</v>
      </c>
      <c r="T72" s="893"/>
    </row>
    <row r="73" spans="2:20" ht="15" customHeight="1" x14ac:dyDescent="0.25">
      <c r="B73" s="898"/>
      <c r="C73" s="891" t="s">
        <v>192</v>
      </c>
      <c r="D73" s="891"/>
      <c r="E73" s="891" t="s">
        <v>177</v>
      </c>
      <c r="F73" s="891"/>
      <c r="G73" s="891" t="s">
        <v>178</v>
      </c>
      <c r="H73" s="891" t="s">
        <v>179</v>
      </c>
      <c r="I73" s="891" t="s">
        <v>190</v>
      </c>
      <c r="J73" s="891"/>
      <c r="K73" s="891" t="s">
        <v>181</v>
      </c>
      <c r="L73" s="891"/>
      <c r="M73" s="915">
        <v>0.25</v>
      </c>
      <c r="N73" s="915">
        <v>0.36919999999999997</v>
      </c>
      <c r="O73" s="890">
        <v>0.39705882352941174</v>
      </c>
      <c r="P73" s="890">
        <f>665/1960</f>
        <v>0.3392857142857143</v>
      </c>
      <c r="Q73" s="890">
        <f>510/2983</f>
        <v>0.17096882333221589</v>
      </c>
      <c r="R73" s="894">
        <v>0.41149999999999998</v>
      </c>
      <c r="S73" s="891" t="s">
        <v>182</v>
      </c>
      <c r="T73" s="891"/>
    </row>
    <row r="74" spans="2:20" x14ac:dyDescent="0.25">
      <c r="B74" s="905"/>
      <c r="C74" s="883"/>
      <c r="D74" s="883"/>
      <c r="E74" s="883"/>
      <c r="F74" s="883"/>
      <c r="G74" s="883"/>
      <c r="H74" s="883"/>
      <c r="I74" s="883"/>
      <c r="J74" s="883"/>
      <c r="K74" s="883"/>
      <c r="L74" s="883"/>
      <c r="M74" s="887"/>
      <c r="N74" s="887"/>
      <c r="O74" s="887"/>
      <c r="P74" s="888"/>
      <c r="Q74" s="888"/>
      <c r="R74" s="895"/>
      <c r="S74" s="883" t="s">
        <v>183</v>
      </c>
      <c r="T74" s="883"/>
    </row>
    <row r="75" spans="2:20" x14ac:dyDescent="0.25">
      <c r="B75" s="905"/>
      <c r="C75" s="883"/>
      <c r="D75" s="883"/>
      <c r="E75" s="883"/>
      <c r="F75" s="883"/>
      <c r="G75" s="883"/>
      <c r="H75" s="883"/>
      <c r="I75" s="883"/>
      <c r="J75" s="883"/>
      <c r="K75" s="883"/>
      <c r="L75" s="883"/>
      <c r="M75" s="887"/>
      <c r="N75" s="887"/>
      <c r="O75" s="887"/>
      <c r="P75" s="888"/>
      <c r="Q75" s="888"/>
      <c r="R75" s="895"/>
      <c r="S75" s="883" t="s">
        <v>184</v>
      </c>
      <c r="T75" s="883"/>
    </row>
    <row r="76" spans="2:20" ht="32.25" customHeight="1" thickBot="1" x14ac:dyDescent="0.3">
      <c r="B76" s="906"/>
      <c r="C76" s="884"/>
      <c r="D76" s="884"/>
      <c r="E76" s="884" t="s">
        <v>185</v>
      </c>
      <c r="F76" s="884"/>
      <c r="G76" s="884"/>
      <c r="H76" s="884"/>
      <c r="I76" s="884"/>
      <c r="J76" s="884"/>
      <c r="K76" s="884"/>
      <c r="L76" s="884"/>
      <c r="M76" s="914"/>
      <c r="N76" s="914"/>
      <c r="O76" s="901"/>
      <c r="P76" s="889"/>
      <c r="Q76" s="889"/>
      <c r="R76" s="896"/>
      <c r="S76" s="884" t="s">
        <v>186</v>
      </c>
      <c r="T76" s="884"/>
    </row>
    <row r="77" spans="2:20" ht="26.25" customHeight="1" thickBot="1" x14ac:dyDescent="0.3">
      <c r="B77" s="209"/>
      <c r="C77" s="893" t="s">
        <v>193</v>
      </c>
      <c r="D77" s="893"/>
      <c r="E77" s="893" t="s">
        <v>194</v>
      </c>
      <c r="F77" s="893"/>
      <c r="G77" s="210" t="s">
        <v>178</v>
      </c>
      <c r="H77" s="210" t="s">
        <v>179</v>
      </c>
      <c r="I77" s="893" t="s">
        <v>180</v>
      </c>
      <c r="J77" s="893"/>
      <c r="K77" s="893" t="s">
        <v>181</v>
      </c>
      <c r="L77" s="893"/>
      <c r="M77" s="211">
        <v>0.74360000000000004</v>
      </c>
      <c r="N77" s="211">
        <v>0.3871</v>
      </c>
      <c r="O77" s="412">
        <f>5/60</f>
        <v>8.3333333333333329E-2</v>
      </c>
      <c r="P77" s="412">
        <f>5/47</f>
        <v>0.10638297872340426</v>
      </c>
      <c r="Q77" s="412">
        <f>8/38</f>
        <v>0.21052631578947367</v>
      </c>
      <c r="R77" s="689">
        <v>0.13950000000000001</v>
      </c>
      <c r="S77" s="893" t="s">
        <v>186</v>
      </c>
      <c r="T77" s="893"/>
    </row>
    <row r="78" spans="2:20" ht="27" customHeight="1" thickBot="1" x14ac:dyDescent="0.3">
      <c r="B78" s="209"/>
      <c r="C78" s="893" t="s">
        <v>195</v>
      </c>
      <c r="D78" s="893"/>
      <c r="E78" s="893" t="s">
        <v>194</v>
      </c>
      <c r="F78" s="893"/>
      <c r="G78" s="210" t="s">
        <v>178</v>
      </c>
      <c r="H78" s="210" t="s">
        <v>179</v>
      </c>
      <c r="I78" s="893" t="s">
        <v>180</v>
      </c>
      <c r="J78" s="893"/>
      <c r="K78" s="893" t="s">
        <v>181</v>
      </c>
      <c r="L78" s="893"/>
      <c r="M78" s="211">
        <v>0.65910000000000002</v>
      </c>
      <c r="N78" s="211">
        <v>0.2571</v>
      </c>
      <c r="O78" s="412">
        <f>15/69</f>
        <v>0.21739130434782608</v>
      </c>
      <c r="P78" s="412">
        <f>7/49</f>
        <v>0.14285714285714285</v>
      </c>
      <c r="Q78" s="412">
        <f>10/42</f>
        <v>0.23809523809523808</v>
      </c>
      <c r="R78" s="689">
        <v>0.125</v>
      </c>
      <c r="S78" s="893" t="s">
        <v>186</v>
      </c>
      <c r="T78" s="893"/>
    </row>
    <row r="79" spans="2:20" ht="37.5" customHeight="1" thickBot="1" x14ac:dyDescent="0.3">
      <c r="B79" s="209"/>
      <c r="C79" s="893" t="s">
        <v>878</v>
      </c>
      <c r="D79" s="893"/>
      <c r="E79" s="893" t="s">
        <v>194</v>
      </c>
      <c r="F79" s="893"/>
      <c r="G79" s="210" t="s">
        <v>178</v>
      </c>
      <c r="H79" s="210" t="s">
        <v>179</v>
      </c>
      <c r="I79" s="893" t="s">
        <v>180</v>
      </c>
      <c r="J79" s="893"/>
      <c r="K79" s="893" t="s">
        <v>181</v>
      </c>
      <c r="L79" s="893"/>
      <c r="M79" s="211">
        <v>0.63329999999999997</v>
      </c>
      <c r="N79" s="211">
        <v>0.32629999999999998</v>
      </c>
      <c r="O79" s="412">
        <f>78/240</f>
        <v>0.32500000000000001</v>
      </c>
      <c r="P79" s="412">
        <f>31/196</f>
        <v>0.15816326530612246</v>
      </c>
      <c r="Q79" s="412">
        <v>8.09E-2</v>
      </c>
      <c r="R79" s="689">
        <v>8.7499999999999994E-2</v>
      </c>
      <c r="S79" s="893"/>
      <c r="T79" s="893"/>
    </row>
    <row r="80" spans="2:20" ht="36" customHeight="1" x14ac:dyDescent="0.25">
      <c r="B80" s="207"/>
      <c r="C80" s="883" t="s">
        <v>879</v>
      </c>
      <c r="D80" s="883"/>
      <c r="E80" s="883" t="s">
        <v>185</v>
      </c>
      <c r="F80" s="883"/>
      <c r="G80" s="205" t="s">
        <v>178</v>
      </c>
      <c r="H80" s="205" t="s">
        <v>179</v>
      </c>
      <c r="I80" s="883" t="s">
        <v>180</v>
      </c>
      <c r="J80" s="883"/>
      <c r="K80" s="883" t="s">
        <v>181</v>
      </c>
      <c r="L80" s="883"/>
      <c r="M80" s="423" t="s">
        <v>51</v>
      </c>
      <c r="N80" s="423" t="s">
        <v>51</v>
      </c>
      <c r="O80" s="423">
        <f>63/240</f>
        <v>0.26250000000000001</v>
      </c>
      <c r="P80" s="423" t="s">
        <v>51</v>
      </c>
      <c r="Q80" s="423" t="s">
        <v>51</v>
      </c>
      <c r="R80" s="423" t="s">
        <v>51</v>
      </c>
      <c r="S80" s="883"/>
      <c r="T80" s="883"/>
    </row>
    <row r="81" spans="2:20" x14ac:dyDescent="0.25">
      <c r="B81" s="909" t="s">
        <v>196</v>
      </c>
      <c r="C81" s="909"/>
      <c r="D81" s="909"/>
      <c r="E81" s="909"/>
      <c r="F81" s="910"/>
      <c r="G81" s="910"/>
      <c r="H81" s="910"/>
      <c r="I81" s="910"/>
      <c r="J81" s="220"/>
      <c r="K81" s="909"/>
      <c r="L81" s="909"/>
      <c r="M81" s="554"/>
      <c r="N81" s="554"/>
      <c r="O81" s="554"/>
      <c r="P81" s="554"/>
      <c r="Q81" s="555"/>
      <c r="R81" s="554"/>
      <c r="S81" s="544"/>
      <c r="T81" s="544"/>
    </row>
    <row r="82" spans="2:20" ht="35.25" customHeight="1" x14ac:dyDescent="0.25">
      <c r="B82" s="905"/>
      <c r="C82" s="883" t="s">
        <v>872</v>
      </c>
      <c r="D82" s="883"/>
      <c r="E82" s="883" t="s">
        <v>197</v>
      </c>
      <c r="F82" s="883"/>
      <c r="G82" s="883" t="s">
        <v>178</v>
      </c>
      <c r="H82" s="883" t="s">
        <v>179</v>
      </c>
      <c r="I82" s="883" t="s">
        <v>180</v>
      </c>
      <c r="J82" s="883"/>
      <c r="K82" s="883" t="s">
        <v>181</v>
      </c>
      <c r="L82" s="883"/>
      <c r="M82" s="883" t="s">
        <v>51</v>
      </c>
      <c r="N82" s="883" t="s">
        <v>51</v>
      </c>
      <c r="O82" s="883" t="s">
        <v>51</v>
      </c>
      <c r="P82" s="883" t="s">
        <v>51</v>
      </c>
      <c r="Q82" s="883" t="s">
        <v>51</v>
      </c>
      <c r="R82" s="883" t="s">
        <v>51</v>
      </c>
      <c r="S82" s="883"/>
      <c r="T82" s="883"/>
    </row>
    <row r="83" spans="2:20" ht="36" customHeight="1" x14ac:dyDescent="0.25">
      <c r="B83" s="905"/>
      <c r="C83" s="883"/>
      <c r="D83" s="883"/>
      <c r="E83" s="883" t="s">
        <v>198</v>
      </c>
      <c r="F83" s="883"/>
      <c r="G83" s="883"/>
      <c r="H83" s="883"/>
      <c r="I83" s="883"/>
      <c r="J83" s="883"/>
      <c r="K83" s="883"/>
      <c r="L83" s="883"/>
      <c r="M83" s="883"/>
      <c r="N83" s="883"/>
      <c r="O83" s="883"/>
      <c r="P83" s="888"/>
      <c r="Q83" s="888"/>
      <c r="R83" s="883"/>
      <c r="S83" s="883"/>
      <c r="T83" s="883"/>
    </row>
    <row r="84" spans="2:20" ht="26.25" customHeight="1" x14ac:dyDescent="0.25">
      <c r="B84" s="905"/>
      <c r="C84" s="883"/>
      <c r="D84" s="883"/>
      <c r="E84" s="883" t="s">
        <v>199</v>
      </c>
      <c r="F84" s="883"/>
      <c r="G84" s="883"/>
      <c r="H84" s="883"/>
      <c r="I84" s="883"/>
      <c r="J84" s="883"/>
      <c r="K84" s="883"/>
      <c r="L84" s="883"/>
      <c r="M84" s="883"/>
      <c r="N84" s="883"/>
      <c r="O84" s="883"/>
      <c r="P84" s="888"/>
      <c r="Q84" s="888"/>
      <c r="R84" s="883"/>
      <c r="S84" s="883"/>
      <c r="T84" s="883"/>
    </row>
    <row r="85" spans="2:20" ht="42.75" customHeight="1" x14ac:dyDescent="0.25">
      <c r="B85" s="905"/>
      <c r="C85" s="883"/>
      <c r="D85" s="883"/>
      <c r="E85" s="883" t="s">
        <v>200</v>
      </c>
      <c r="F85" s="883"/>
      <c r="G85" s="883"/>
      <c r="H85" s="883"/>
      <c r="I85" s="883"/>
      <c r="J85" s="883"/>
      <c r="K85" s="883"/>
      <c r="L85" s="883"/>
      <c r="M85" s="883"/>
      <c r="N85" s="883"/>
      <c r="O85" s="883"/>
      <c r="P85" s="888"/>
      <c r="Q85" s="888"/>
      <c r="R85" s="883"/>
      <c r="S85" s="883"/>
      <c r="T85" s="883"/>
    </row>
    <row r="86" spans="2:20" ht="25.5" customHeight="1" x14ac:dyDescent="0.25">
      <c r="B86" s="905"/>
      <c r="C86" s="883"/>
      <c r="D86" s="883"/>
      <c r="E86" s="883" t="s">
        <v>201</v>
      </c>
      <c r="F86" s="883"/>
      <c r="G86" s="883"/>
      <c r="H86" s="883"/>
      <c r="I86" s="883"/>
      <c r="J86" s="883"/>
      <c r="K86" s="883"/>
      <c r="L86" s="883"/>
      <c r="M86" s="883"/>
      <c r="N86" s="883"/>
      <c r="O86" s="883"/>
      <c r="P86" s="888"/>
      <c r="Q86" s="888"/>
      <c r="R86" s="883"/>
      <c r="S86" s="883"/>
      <c r="T86" s="883"/>
    </row>
    <row r="87" spans="2:20" ht="28.5" customHeight="1" x14ac:dyDescent="0.25">
      <c r="B87" s="905"/>
      <c r="C87" s="883"/>
      <c r="D87" s="883"/>
      <c r="E87" s="883" t="s">
        <v>202</v>
      </c>
      <c r="F87" s="883"/>
      <c r="G87" s="883"/>
      <c r="H87" s="883"/>
      <c r="I87" s="883"/>
      <c r="J87" s="883"/>
      <c r="K87" s="883"/>
      <c r="L87" s="883"/>
      <c r="M87" s="883"/>
      <c r="N87" s="883"/>
      <c r="O87" s="883"/>
      <c r="P87" s="888"/>
      <c r="Q87" s="888"/>
      <c r="R87" s="883"/>
      <c r="S87" s="883"/>
      <c r="T87" s="883"/>
    </row>
    <row r="88" spans="2:20" ht="23.25" customHeight="1" x14ac:dyDescent="0.25">
      <c r="B88" s="905"/>
      <c r="C88" s="883"/>
      <c r="D88" s="883"/>
      <c r="E88" s="883" t="s">
        <v>203</v>
      </c>
      <c r="F88" s="883"/>
      <c r="G88" s="883"/>
      <c r="H88" s="883"/>
      <c r="I88" s="883"/>
      <c r="J88" s="883"/>
      <c r="K88" s="883"/>
      <c r="L88" s="883"/>
      <c r="M88" s="883"/>
      <c r="N88" s="883"/>
      <c r="O88" s="883"/>
      <c r="P88" s="888"/>
      <c r="Q88" s="888"/>
      <c r="R88" s="883"/>
      <c r="S88" s="883"/>
      <c r="T88" s="883"/>
    </row>
    <row r="89" spans="2:20" ht="24" customHeight="1" x14ac:dyDescent="0.25">
      <c r="B89" s="905"/>
      <c r="C89" s="883"/>
      <c r="D89" s="883"/>
      <c r="E89" s="883" t="s">
        <v>204</v>
      </c>
      <c r="F89" s="883"/>
      <c r="G89" s="883"/>
      <c r="H89" s="883"/>
      <c r="I89" s="883"/>
      <c r="J89" s="883"/>
      <c r="K89" s="883"/>
      <c r="L89" s="883"/>
      <c r="M89" s="883"/>
      <c r="N89" s="883"/>
      <c r="O89" s="883"/>
      <c r="P89" s="888"/>
      <c r="Q89" s="888"/>
      <c r="R89" s="883"/>
      <c r="S89" s="883"/>
      <c r="T89" s="883"/>
    </row>
    <row r="90" spans="2:20" ht="34.5" customHeight="1" thickBot="1" x14ac:dyDescent="0.3">
      <c r="B90" s="906"/>
      <c r="C90" s="884"/>
      <c r="D90" s="884"/>
      <c r="E90" s="884" t="s">
        <v>205</v>
      </c>
      <c r="F90" s="884"/>
      <c r="G90" s="884"/>
      <c r="H90" s="884"/>
      <c r="I90" s="884"/>
      <c r="J90" s="884"/>
      <c r="K90" s="884"/>
      <c r="L90" s="884"/>
      <c r="M90" s="884"/>
      <c r="N90" s="884"/>
      <c r="O90" s="897"/>
      <c r="P90" s="889"/>
      <c r="Q90" s="889"/>
      <c r="R90" s="884"/>
      <c r="S90" s="884"/>
      <c r="T90" s="884"/>
    </row>
    <row r="91" spans="2:20" ht="49.5" customHeight="1" thickBot="1" x14ac:dyDescent="0.3">
      <c r="B91" s="209"/>
      <c r="C91" s="907" t="s">
        <v>873</v>
      </c>
      <c r="D91" s="907"/>
      <c r="E91" s="893" t="s">
        <v>206</v>
      </c>
      <c r="F91" s="893"/>
      <c r="G91" s="210" t="s">
        <v>178</v>
      </c>
      <c r="H91" s="210" t="s">
        <v>179</v>
      </c>
      <c r="I91" s="893" t="s">
        <v>180</v>
      </c>
      <c r="J91" s="893"/>
      <c r="K91" s="893" t="s">
        <v>181</v>
      </c>
      <c r="L91" s="893"/>
      <c r="M91" s="211">
        <v>0.67649999999999999</v>
      </c>
      <c r="N91" s="211">
        <v>0.58823529411764708</v>
      </c>
      <c r="O91" s="412">
        <f>18/35</f>
        <v>0.51428571428571423</v>
      </c>
      <c r="P91" s="412">
        <f>11/32</f>
        <v>0.34375</v>
      </c>
      <c r="Q91" s="690">
        <v>0.5484</v>
      </c>
      <c r="R91" s="689">
        <v>0.22850000000000001</v>
      </c>
      <c r="S91" s="212"/>
      <c r="T91" s="213"/>
    </row>
    <row r="92" spans="2:20" ht="33.75" customHeight="1" x14ac:dyDescent="0.25">
      <c r="B92" s="206"/>
      <c r="C92" s="844" t="s">
        <v>874</v>
      </c>
      <c r="D92" s="844"/>
      <c r="E92" s="883" t="s">
        <v>207</v>
      </c>
      <c r="F92" s="883"/>
      <c r="G92" s="205" t="s">
        <v>178</v>
      </c>
      <c r="H92" s="205" t="s">
        <v>179</v>
      </c>
      <c r="I92" s="883" t="s">
        <v>180</v>
      </c>
      <c r="J92" s="883"/>
      <c r="K92" s="883" t="s">
        <v>181</v>
      </c>
      <c r="L92" s="883"/>
      <c r="M92" s="206" t="s">
        <v>51</v>
      </c>
      <c r="N92" s="423">
        <v>0.875</v>
      </c>
      <c r="O92" s="423">
        <f>4/7</f>
        <v>0.5714285714285714</v>
      </c>
      <c r="P92" s="423" t="s">
        <v>51</v>
      </c>
      <c r="Q92" s="423" t="s">
        <v>51</v>
      </c>
      <c r="R92" s="206"/>
      <c r="S92" s="208"/>
    </row>
    <row r="93" spans="2:20" x14ac:dyDescent="0.25">
      <c r="B93" s="909" t="s">
        <v>208</v>
      </c>
      <c r="C93" s="909"/>
      <c r="D93" s="909"/>
      <c r="E93" s="909"/>
      <c r="F93" s="910"/>
      <c r="G93" s="910"/>
      <c r="H93" s="910"/>
      <c r="I93" s="910"/>
      <c r="J93" s="220"/>
      <c r="K93" s="911"/>
      <c r="L93" s="911"/>
      <c r="M93" s="557"/>
      <c r="N93" s="557"/>
      <c r="O93" s="557"/>
      <c r="P93" s="558"/>
      <c r="Q93" s="557"/>
      <c r="R93" s="557"/>
      <c r="S93" s="544"/>
      <c r="T93" s="544"/>
    </row>
    <row r="94" spans="2:20" x14ac:dyDescent="0.25">
      <c r="B94" s="912"/>
      <c r="C94" s="844" t="s">
        <v>209</v>
      </c>
      <c r="D94" s="844"/>
      <c r="E94" s="883" t="s">
        <v>177</v>
      </c>
      <c r="F94" s="883"/>
      <c r="G94" s="883" t="s">
        <v>178</v>
      </c>
      <c r="H94" s="883" t="s">
        <v>179</v>
      </c>
      <c r="I94" s="883" t="s">
        <v>180</v>
      </c>
      <c r="J94" s="883"/>
      <c r="K94" s="883" t="s">
        <v>181</v>
      </c>
      <c r="L94" s="883"/>
      <c r="M94" s="887">
        <v>0.45829999999999999</v>
      </c>
      <c r="N94" s="887">
        <v>0.1666</v>
      </c>
      <c r="O94" s="887">
        <f>25/57</f>
        <v>0.43859649122807015</v>
      </c>
      <c r="P94" s="887">
        <v>0</v>
      </c>
      <c r="Q94" s="895">
        <v>0.33329999999999999</v>
      </c>
      <c r="R94" s="887">
        <v>6.8199999999999997E-2</v>
      </c>
      <c r="S94" s="883"/>
      <c r="T94" s="883"/>
    </row>
    <row r="95" spans="2:20" ht="36" customHeight="1" thickBot="1" x14ac:dyDescent="0.3">
      <c r="B95" s="913"/>
      <c r="C95" s="846"/>
      <c r="D95" s="846"/>
      <c r="E95" s="884" t="s">
        <v>185</v>
      </c>
      <c r="F95" s="884"/>
      <c r="G95" s="884"/>
      <c r="H95" s="884"/>
      <c r="I95" s="884"/>
      <c r="J95" s="884"/>
      <c r="K95" s="884"/>
      <c r="L95" s="884"/>
      <c r="M95" s="914"/>
      <c r="N95" s="914"/>
      <c r="O95" s="901"/>
      <c r="P95" s="889"/>
      <c r="Q95" s="918"/>
      <c r="R95" s="914"/>
      <c r="S95" s="884"/>
      <c r="T95" s="884"/>
    </row>
    <row r="96" spans="2:20" x14ac:dyDescent="0.25">
      <c r="B96" s="905"/>
      <c r="C96" s="883" t="s">
        <v>875</v>
      </c>
      <c r="D96" s="883"/>
      <c r="E96" s="883" t="s">
        <v>210</v>
      </c>
      <c r="F96" s="883"/>
      <c r="G96" s="883" t="s">
        <v>178</v>
      </c>
      <c r="H96" s="883" t="s">
        <v>179</v>
      </c>
      <c r="I96" s="883" t="s">
        <v>180</v>
      </c>
      <c r="J96" s="883"/>
      <c r="K96" s="883" t="s">
        <v>634</v>
      </c>
      <c r="L96" s="883"/>
      <c r="M96" s="915">
        <v>0.34799999999999998</v>
      </c>
      <c r="N96" s="915">
        <v>0.32300000000000001</v>
      </c>
      <c r="O96" s="890">
        <v>0.4</v>
      </c>
      <c r="P96" s="887" t="s">
        <v>51</v>
      </c>
      <c r="Q96" s="887">
        <v>0.41799999999999998</v>
      </c>
      <c r="R96" s="915">
        <v>0.35</v>
      </c>
      <c r="S96" s="883" t="s">
        <v>182</v>
      </c>
      <c r="T96" s="883"/>
    </row>
    <row r="97" spans="2:20" x14ac:dyDescent="0.25">
      <c r="B97" s="905"/>
      <c r="C97" s="883"/>
      <c r="D97" s="883"/>
      <c r="E97" s="883" t="s">
        <v>177</v>
      </c>
      <c r="F97" s="883"/>
      <c r="G97" s="883"/>
      <c r="H97" s="883"/>
      <c r="I97" s="883"/>
      <c r="J97" s="883"/>
      <c r="K97" s="883"/>
      <c r="L97" s="883"/>
      <c r="M97" s="887"/>
      <c r="N97" s="887"/>
      <c r="O97" s="887"/>
      <c r="P97" s="888"/>
      <c r="Q97" s="888"/>
      <c r="R97" s="887"/>
      <c r="S97" s="883" t="s">
        <v>183</v>
      </c>
      <c r="T97" s="883"/>
    </row>
    <row r="98" spans="2:20" x14ac:dyDescent="0.25">
      <c r="B98" s="905"/>
      <c r="C98" s="883"/>
      <c r="D98" s="883"/>
      <c r="E98" s="883" t="s">
        <v>185</v>
      </c>
      <c r="F98" s="883"/>
      <c r="G98" s="883"/>
      <c r="H98" s="883"/>
      <c r="I98" s="883"/>
      <c r="J98" s="883"/>
      <c r="K98" s="883"/>
      <c r="L98" s="883"/>
      <c r="M98" s="887"/>
      <c r="N98" s="887"/>
      <c r="O98" s="887"/>
      <c r="P98" s="888"/>
      <c r="Q98" s="888"/>
      <c r="R98" s="887"/>
      <c r="S98" s="883" t="s">
        <v>191</v>
      </c>
      <c r="T98" s="883"/>
    </row>
    <row r="99" spans="2:20" x14ac:dyDescent="0.25">
      <c r="B99" s="905"/>
      <c r="C99" s="883"/>
      <c r="D99" s="883"/>
      <c r="E99" s="883"/>
      <c r="F99" s="883"/>
      <c r="G99" s="883"/>
      <c r="H99" s="883"/>
      <c r="I99" s="883"/>
      <c r="J99" s="883"/>
      <c r="K99" s="883"/>
      <c r="L99" s="883"/>
      <c r="M99" s="887"/>
      <c r="N99" s="887"/>
      <c r="O99" s="887"/>
      <c r="P99" s="888"/>
      <c r="Q99" s="888"/>
      <c r="R99" s="887"/>
      <c r="S99" s="883" t="s">
        <v>184</v>
      </c>
      <c r="T99" s="883"/>
    </row>
    <row r="100" spans="2:20" ht="15.75" thickBot="1" x14ac:dyDescent="0.3">
      <c r="B100" s="906"/>
      <c r="C100" s="884"/>
      <c r="D100" s="884"/>
      <c r="E100" s="884"/>
      <c r="F100" s="884"/>
      <c r="G100" s="884"/>
      <c r="H100" s="884"/>
      <c r="I100" s="884"/>
      <c r="J100" s="884"/>
      <c r="K100" s="884"/>
      <c r="L100" s="884"/>
      <c r="M100" s="914"/>
      <c r="N100" s="914"/>
      <c r="O100" s="901"/>
      <c r="P100" s="889"/>
      <c r="Q100" s="889"/>
      <c r="R100" s="914"/>
      <c r="S100" s="884" t="s">
        <v>186</v>
      </c>
      <c r="T100" s="884"/>
    </row>
    <row r="101" spans="2:20" x14ac:dyDescent="0.25">
      <c r="B101" s="905"/>
      <c r="C101" s="883" t="s">
        <v>876</v>
      </c>
      <c r="D101" s="883"/>
      <c r="E101" s="883" t="s">
        <v>211</v>
      </c>
      <c r="F101" s="883"/>
      <c r="G101" s="883" t="s">
        <v>178</v>
      </c>
      <c r="H101" s="883" t="s">
        <v>179</v>
      </c>
      <c r="I101" s="883" t="s">
        <v>212</v>
      </c>
      <c r="J101" s="883"/>
      <c r="K101" s="883" t="s">
        <v>634</v>
      </c>
      <c r="L101" s="883"/>
      <c r="M101" s="898" t="s">
        <v>51</v>
      </c>
      <c r="N101" s="915">
        <v>0.24</v>
      </c>
      <c r="O101" s="890" t="s">
        <v>51</v>
      </c>
      <c r="P101" s="887" t="s">
        <v>51</v>
      </c>
      <c r="Q101" s="887">
        <v>0.41799999999999998</v>
      </c>
      <c r="R101" s="916">
        <v>0.42199999999999999</v>
      </c>
      <c r="S101" s="883" t="s">
        <v>186</v>
      </c>
      <c r="T101" s="883"/>
    </row>
    <row r="102" spans="2:20" ht="30.75" customHeight="1" thickBot="1" x14ac:dyDescent="0.3">
      <c r="B102" s="906"/>
      <c r="C102" s="884"/>
      <c r="D102" s="884"/>
      <c r="E102" s="884" t="s">
        <v>213</v>
      </c>
      <c r="F102" s="884"/>
      <c r="G102" s="884"/>
      <c r="H102" s="884"/>
      <c r="I102" s="884"/>
      <c r="J102" s="884"/>
      <c r="K102" s="884"/>
      <c r="L102" s="884"/>
      <c r="M102" s="906"/>
      <c r="N102" s="914"/>
      <c r="O102" s="901"/>
      <c r="P102" s="889"/>
      <c r="Q102" s="889"/>
      <c r="R102" s="917"/>
      <c r="S102" s="884"/>
      <c r="T102" s="884"/>
    </row>
    <row r="103" spans="2:20" x14ac:dyDescent="0.25">
      <c r="B103" s="898"/>
      <c r="C103" s="902" t="s">
        <v>877</v>
      </c>
      <c r="D103" s="902"/>
      <c r="E103" s="891" t="s">
        <v>211</v>
      </c>
      <c r="F103" s="891"/>
      <c r="G103" s="891" t="s">
        <v>178</v>
      </c>
      <c r="H103" s="891" t="s">
        <v>214</v>
      </c>
      <c r="I103" s="898" t="s">
        <v>51</v>
      </c>
      <c r="J103" s="898"/>
      <c r="K103" s="891" t="s">
        <v>181</v>
      </c>
      <c r="L103" s="891"/>
      <c r="M103" s="898" t="s">
        <v>51</v>
      </c>
      <c r="N103" s="898" t="s">
        <v>51</v>
      </c>
      <c r="O103" s="885" t="s">
        <v>51</v>
      </c>
      <c r="P103" s="885" t="s">
        <v>51</v>
      </c>
      <c r="Q103" s="885" t="s">
        <v>51</v>
      </c>
      <c r="R103" s="898"/>
      <c r="S103" s="891"/>
      <c r="T103" s="891"/>
    </row>
    <row r="104" spans="2:20" ht="30.75" customHeight="1" thickBot="1" x14ac:dyDescent="0.3">
      <c r="B104" s="899"/>
      <c r="C104" s="873"/>
      <c r="D104" s="873"/>
      <c r="E104" s="873" t="s">
        <v>213</v>
      </c>
      <c r="F104" s="873"/>
      <c r="G104" s="892"/>
      <c r="H104" s="892"/>
      <c r="I104" s="899"/>
      <c r="J104" s="899"/>
      <c r="K104" s="892"/>
      <c r="L104" s="892"/>
      <c r="M104" s="899"/>
      <c r="N104" s="899"/>
      <c r="O104" s="900"/>
      <c r="P104" s="886"/>
      <c r="Q104" s="886"/>
      <c r="R104" s="899"/>
      <c r="S104" s="892"/>
      <c r="T104" s="892"/>
    </row>
    <row r="105" spans="2:20" x14ac:dyDescent="0.25">
      <c r="M105" s="6">
        <f t="shared" ref="M105:R105" si="0">AVERAGE(M94:M104)</f>
        <v>0.40315000000000001</v>
      </c>
      <c r="N105" s="6">
        <f t="shared" si="0"/>
        <v>0.2432</v>
      </c>
      <c r="O105" s="6">
        <f t="shared" si="0"/>
        <v>0.41929824561403506</v>
      </c>
      <c r="P105" s="6">
        <f t="shared" si="0"/>
        <v>0</v>
      </c>
      <c r="Q105" s="6">
        <f t="shared" si="0"/>
        <v>0.38976666666666665</v>
      </c>
      <c r="R105" s="6">
        <f t="shared" si="0"/>
        <v>0.28006666666666663</v>
      </c>
    </row>
    <row r="106" spans="2:20" x14ac:dyDescent="0.25">
      <c r="B106" s="36" t="s">
        <v>215</v>
      </c>
    </row>
    <row r="107" spans="2:20" x14ac:dyDescent="0.25">
      <c r="B107" s="36" t="s">
        <v>216</v>
      </c>
    </row>
    <row r="108" spans="2:20" x14ac:dyDescent="0.25">
      <c r="B108" s="36" t="s">
        <v>217</v>
      </c>
    </row>
  </sheetData>
  <mergeCells count="409">
    <mergeCell ref="N73:N76"/>
    <mergeCell ref="M73:M76"/>
    <mergeCell ref="O68:O71"/>
    <mergeCell ref="N68:N71"/>
    <mergeCell ref="M68:M71"/>
    <mergeCell ref="O64:O67"/>
    <mergeCell ref="N64:N67"/>
    <mergeCell ref="M64:M67"/>
    <mergeCell ref="Q82:Q90"/>
    <mergeCell ref="B12:T12"/>
    <mergeCell ref="R35:R43"/>
    <mergeCell ref="O35:O43"/>
    <mergeCell ref="N35:N43"/>
    <mergeCell ref="M35:M43"/>
    <mergeCell ref="R56:R57"/>
    <mergeCell ref="R54:R55"/>
    <mergeCell ref="R49:R53"/>
    <mergeCell ref="R47:R48"/>
    <mergeCell ref="O56:O57"/>
    <mergeCell ref="N56:N57"/>
    <mergeCell ref="M56:M57"/>
    <mergeCell ref="O54:O55"/>
    <mergeCell ref="N54:N55"/>
    <mergeCell ref="M54:M55"/>
    <mergeCell ref="O49:O53"/>
    <mergeCell ref="M49:M53"/>
    <mergeCell ref="O47:O48"/>
    <mergeCell ref="N47:N48"/>
    <mergeCell ref="M47:M48"/>
    <mergeCell ref="R17:R20"/>
    <mergeCell ref="R21:R24"/>
    <mergeCell ref="O21:O24"/>
    <mergeCell ref="N21:N24"/>
    <mergeCell ref="M21:M24"/>
    <mergeCell ref="O17:O20"/>
    <mergeCell ref="N17:N20"/>
    <mergeCell ref="M17:M20"/>
    <mergeCell ref="O26:O29"/>
    <mergeCell ref="N26:N29"/>
    <mergeCell ref="M26:M29"/>
    <mergeCell ref="R26:R29"/>
    <mergeCell ref="Q17:Q20"/>
    <mergeCell ref="I17:J20"/>
    <mergeCell ref="I21:J24"/>
    <mergeCell ref="K17:L20"/>
    <mergeCell ref="E17:F19"/>
    <mergeCell ref="E20:F20"/>
    <mergeCell ref="K35:L43"/>
    <mergeCell ref="I35:J43"/>
    <mergeCell ref="E25:F25"/>
    <mergeCell ref="E26:F28"/>
    <mergeCell ref="E29:F29"/>
    <mergeCell ref="E33:F33"/>
    <mergeCell ref="E32:F32"/>
    <mergeCell ref="E31:F31"/>
    <mergeCell ref="E30:F30"/>
    <mergeCell ref="H26:H29"/>
    <mergeCell ref="I31:J31"/>
    <mergeCell ref="I30:J30"/>
    <mergeCell ref="I26:J29"/>
    <mergeCell ref="I25:J25"/>
    <mergeCell ref="I33:J33"/>
    <mergeCell ref="K21:L24"/>
    <mergeCell ref="H35:H43"/>
    <mergeCell ref="B21:B24"/>
    <mergeCell ref="G21:G24"/>
    <mergeCell ref="H21:H24"/>
    <mergeCell ref="B17:B20"/>
    <mergeCell ref="G17:G20"/>
    <mergeCell ref="H17:H20"/>
    <mergeCell ref="C21:D24"/>
    <mergeCell ref="C17:D20"/>
    <mergeCell ref="E21:F23"/>
    <mergeCell ref="E24:F24"/>
    <mergeCell ref="C35:D43"/>
    <mergeCell ref="E43:F43"/>
    <mergeCell ref="E42:F42"/>
    <mergeCell ref="E41:F41"/>
    <mergeCell ref="E40:F40"/>
    <mergeCell ref="E39:F39"/>
    <mergeCell ref="E38:F38"/>
    <mergeCell ref="E37:F37"/>
    <mergeCell ref="E36:F36"/>
    <mergeCell ref="E35:F35"/>
    <mergeCell ref="B61:B62"/>
    <mergeCell ref="G61:G62"/>
    <mergeCell ref="H61:H62"/>
    <mergeCell ref="B56:B57"/>
    <mergeCell ref="G56:G57"/>
    <mergeCell ref="C61:D62"/>
    <mergeCell ref="E61:F62"/>
    <mergeCell ref="I61:J62"/>
    <mergeCell ref="K61:L62"/>
    <mergeCell ref="E57:F57"/>
    <mergeCell ref="E56:F56"/>
    <mergeCell ref="I56:J57"/>
    <mergeCell ref="C56:D57"/>
    <mergeCell ref="H56:H57"/>
    <mergeCell ref="B64:B67"/>
    <mergeCell ref="G64:G67"/>
    <mergeCell ref="H64:H67"/>
    <mergeCell ref="B82:B90"/>
    <mergeCell ref="G82:G90"/>
    <mergeCell ref="H82:H90"/>
    <mergeCell ref="C77:D77"/>
    <mergeCell ref="E77:F77"/>
    <mergeCell ref="I77:J77"/>
    <mergeCell ref="C82:D90"/>
    <mergeCell ref="E82:F82"/>
    <mergeCell ref="B73:B76"/>
    <mergeCell ref="G73:G76"/>
    <mergeCell ref="H73:H76"/>
    <mergeCell ref="E79:F79"/>
    <mergeCell ref="I79:J79"/>
    <mergeCell ref="C72:D72"/>
    <mergeCell ref="E72:F72"/>
    <mergeCell ref="I72:J72"/>
    <mergeCell ref="I82:J90"/>
    <mergeCell ref="E85:F85"/>
    <mergeCell ref="E86:F86"/>
    <mergeCell ref="E87:F87"/>
    <mergeCell ref="E88:F88"/>
    <mergeCell ref="H103:H104"/>
    <mergeCell ref="C96:D100"/>
    <mergeCell ref="E96:F96"/>
    <mergeCell ref="I96:J100"/>
    <mergeCell ref="K96:L100"/>
    <mergeCell ref="S68:T68"/>
    <mergeCell ref="B103:B104"/>
    <mergeCell ref="E98:F100"/>
    <mergeCell ref="G103:G104"/>
    <mergeCell ref="K79:L79"/>
    <mergeCell ref="S79:T79"/>
    <mergeCell ref="B68:B71"/>
    <mergeCell ref="G68:G71"/>
    <mergeCell ref="H68:H71"/>
    <mergeCell ref="C68:D71"/>
    <mergeCell ref="E68:F70"/>
    <mergeCell ref="I68:J71"/>
    <mergeCell ref="K68:L71"/>
    <mergeCell ref="E71:F71"/>
    <mergeCell ref="K77:L77"/>
    <mergeCell ref="C78:D78"/>
    <mergeCell ref="E78:F78"/>
    <mergeCell ref="I78:J78"/>
    <mergeCell ref="K78:L78"/>
    <mergeCell ref="C101:D102"/>
    <mergeCell ref="E101:F101"/>
    <mergeCell ref="I101:J102"/>
    <mergeCell ref="K101:L102"/>
    <mergeCell ref="C79:D79"/>
    <mergeCell ref="S77:T77"/>
    <mergeCell ref="S61:T62"/>
    <mergeCell ref="G49:G53"/>
    <mergeCell ref="H49:H53"/>
    <mergeCell ref="S52:T52"/>
    <mergeCell ref="S51:T51"/>
    <mergeCell ref="P49:P53"/>
    <mergeCell ref="P54:P55"/>
    <mergeCell ref="P56:P57"/>
    <mergeCell ref="K56:L57"/>
    <mergeCell ref="K54:L55"/>
    <mergeCell ref="K49:L53"/>
    <mergeCell ref="K72:L72"/>
    <mergeCell ref="S72:T72"/>
    <mergeCell ref="C73:D76"/>
    <mergeCell ref="E73:F75"/>
    <mergeCell ref="I73:J76"/>
    <mergeCell ref="K73:L76"/>
    <mergeCell ref="N49:N53"/>
    <mergeCell ref="S14:T15"/>
    <mergeCell ref="O13:T13"/>
    <mergeCell ref="B16:C16"/>
    <mergeCell ref="D16:E16"/>
    <mergeCell ref="F16:G16"/>
    <mergeCell ref="H16:I16"/>
    <mergeCell ref="K16:L16"/>
    <mergeCell ref="C14:D15"/>
    <mergeCell ref="E14:F15"/>
    <mergeCell ref="K14:L15"/>
    <mergeCell ref="M13:N13"/>
    <mergeCell ref="I14:J15"/>
    <mergeCell ref="B14:B15"/>
    <mergeCell ref="G14:G15"/>
    <mergeCell ref="H14:H15"/>
    <mergeCell ref="B13:C13"/>
    <mergeCell ref="D13:E13"/>
    <mergeCell ref="F13:G13"/>
    <mergeCell ref="H13:I13"/>
    <mergeCell ref="K13:L13"/>
    <mergeCell ref="M14:R14"/>
    <mergeCell ref="M16:T16"/>
    <mergeCell ref="C25:D25"/>
    <mergeCell ref="G54:G55"/>
    <mergeCell ref="H54:H55"/>
    <mergeCell ref="C44:D44"/>
    <mergeCell ref="C45:D45"/>
    <mergeCell ref="B46:E46"/>
    <mergeCell ref="F46:I46"/>
    <mergeCell ref="K46:L46"/>
    <mergeCell ref="C47:D48"/>
    <mergeCell ref="C49:D53"/>
    <mergeCell ref="C54:D55"/>
    <mergeCell ref="E47:F47"/>
    <mergeCell ref="E50:F50"/>
    <mergeCell ref="E49:F49"/>
    <mergeCell ref="E51:F53"/>
    <mergeCell ref="E55:F55"/>
    <mergeCell ref="C32:D32"/>
    <mergeCell ref="C31:D31"/>
    <mergeCell ref="C30:D30"/>
    <mergeCell ref="C26:D29"/>
    <mergeCell ref="B34:E34"/>
    <mergeCell ref="F34:G34"/>
    <mergeCell ref="K33:L33"/>
    <mergeCell ref="K32:L32"/>
    <mergeCell ref="B26:B29"/>
    <mergeCell ref="G26:G29"/>
    <mergeCell ref="E54:F54"/>
    <mergeCell ref="B54:B55"/>
    <mergeCell ref="B49:B53"/>
    <mergeCell ref="E44:F44"/>
    <mergeCell ref="E45:F45"/>
    <mergeCell ref="E48:F48"/>
    <mergeCell ref="K45:L45"/>
    <mergeCell ref="K44:L44"/>
    <mergeCell ref="I54:J55"/>
    <mergeCell ref="I45:J45"/>
    <mergeCell ref="I44:J44"/>
    <mergeCell ref="B47:B48"/>
    <mergeCell ref="G47:G48"/>
    <mergeCell ref="H47:H48"/>
    <mergeCell ref="I49:J53"/>
    <mergeCell ref="I47:J48"/>
    <mergeCell ref="K31:L31"/>
    <mergeCell ref="K30:L30"/>
    <mergeCell ref="K26:L29"/>
    <mergeCell ref="C33:D33"/>
    <mergeCell ref="B35:B43"/>
    <mergeCell ref="G35:G43"/>
    <mergeCell ref="S49:T49"/>
    <mergeCell ref="S47:T48"/>
    <mergeCell ref="S54:T55"/>
    <mergeCell ref="S53:T53"/>
    <mergeCell ref="P26:P29"/>
    <mergeCell ref="P35:P43"/>
    <mergeCell ref="P47:P48"/>
    <mergeCell ref="S26:T26"/>
    <mergeCell ref="S44:T44"/>
    <mergeCell ref="S45:T45"/>
    <mergeCell ref="Q47:Q48"/>
    <mergeCell ref="Q49:Q53"/>
    <mergeCell ref="Q54:Q55"/>
    <mergeCell ref="S18:T18"/>
    <mergeCell ref="S17:T17"/>
    <mergeCell ref="P17:P20"/>
    <mergeCell ref="P21:P24"/>
    <mergeCell ref="C64:D67"/>
    <mergeCell ref="E64:F66"/>
    <mergeCell ref="I64:J67"/>
    <mergeCell ref="K64:L67"/>
    <mergeCell ref="S64:T64"/>
    <mergeCell ref="S65:T65"/>
    <mergeCell ref="S66:T66"/>
    <mergeCell ref="E67:F67"/>
    <mergeCell ref="S67:T67"/>
    <mergeCell ref="B63:C63"/>
    <mergeCell ref="D63:E63"/>
    <mergeCell ref="F63:G63"/>
    <mergeCell ref="H63:I63"/>
    <mergeCell ref="K63:L63"/>
    <mergeCell ref="I32:J32"/>
    <mergeCell ref="H34:I34"/>
    <mergeCell ref="K25:L25"/>
    <mergeCell ref="S25:T25"/>
    <mergeCell ref="S33:T33"/>
    <mergeCell ref="S32:T32"/>
    <mergeCell ref="E89:F89"/>
    <mergeCell ref="E90:F90"/>
    <mergeCell ref="S21:T21"/>
    <mergeCell ref="S19:T19"/>
    <mergeCell ref="S20:T20"/>
    <mergeCell ref="S31:T31"/>
    <mergeCell ref="S35:T43"/>
    <mergeCell ref="K34:L34"/>
    <mergeCell ref="S24:T24"/>
    <mergeCell ref="S23:T23"/>
    <mergeCell ref="S22:T22"/>
    <mergeCell ref="Q21:Q24"/>
    <mergeCell ref="Q26:Q29"/>
    <mergeCell ref="Q35:Q43"/>
    <mergeCell ref="K47:L48"/>
    <mergeCell ref="S30:T30"/>
    <mergeCell ref="S29:T29"/>
    <mergeCell ref="S27:T27"/>
    <mergeCell ref="S28:T28"/>
    <mergeCell ref="S50:T50"/>
    <mergeCell ref="Q56:Q57"/>
    <mergeCell ref="Q64:Q67"/>
    <mergeCell ref="Q68:Q71"/>
    <mergeCell ref="Q73:Q76"/>
    <mergeCell ref="B96:B100"/>
    <mergeCell ref="Q94:Q95"/>
    <mergeCell ref="Q96:Q100"/>
    <mergeCell ref="P94:P95"/>
    <mergeCell ref="P96:P100"/>
    <mergeCell ref="Q101:Q102"/>
    <mergeCell ref="G96:G100"/>
    <mergeCell ref="S73:T73"/>
    <mergeCell ref="S74:T74"/>
    <mergeCell ref="S75:T75"/>
    <mergeCell ref="E76:F76"/>
    <mergeCell ref="S76:T76"/>
    <mergeCell ref="P73:P76"/>
    <mergeCell ref="K82:L90"/>
    <mergeCell ref="B81:E81"/>
    <mergeCell ref="F81:G81"/>
    <mergeCell ref="H81:I81"/>
    <mergeCell ref="K81:L81"/>
    <mergeCell ref="C80:D80"/>
    <mergeCell ref="E80:F80"/>
    <mergeCell ref="I80:J80"/>
    <mergeCell ref="K80:L80"/>
    <mergeCell ref="E83:F83"/>
    <mergeCell ref="E84:F84"/>
    <mergeCell ref="H101:H102"/>
    <mergeCell ref="S96:T96"/>
    <mergeCell ref="S97:T97"/>
    <mergeCell ref="S94:T95"/>
    <mergeCell ref="E95:F95"/>
    <mergeCell ref="S98:T98"/>
    <mergeCell ref="S99:T99"/>
    <mergeCell ref="S100:T100"/>
    <mergeCell ref="K94:L95"/>
    <mergeCell ref="P101:P102"/>
    <mergeCell ref="E97:F97"/>
    <mergeCell ref="H96:H100"/>
    <mergeCell ref="R94:R95"/>
    <mergeCell ref="N101:N102"/>
    <mergeCell ref="O94:O95"/>
    <mergeCell ref="N94:N95"/>
    <mergeCell ref="M94:M95"/>
    <mergeCell ref="R96:R100"/>
    <mergeCell ref="R101:R102"/>
    <mergeCell ref="O101:O102"/>
    <mergeCell ref="M101:M102"/>
    <mergeCell ref="O96:O100"/>
    <mergeCell ref="N96:N100"/>
    <mergeCell ref="M96:M100"/>
    <mergeCell ref="E92:F92"/>
    <mergeCell ref="I92:J92"/>
    <mergeCell ref="K92:L92"/>
    <mergeCell ref="B93:E93"/>
    <mergeCell ref="F93:I93"/>
    <mergeCell ref="K93:L93"/>
    <mergeCell ref="H94:H95"/>
    <mergeCell ref="C94:D95"/>
    <mergeCell ref="E94:F94"/>
    <mergeCell ref="I94:J95"/>
    <mergeCell ref="B94:B95"/>
    <mergeCell ref="G94:G95"/>
    <mergeCell ref="C103:D104"/>
    <mergeCell ref="E103:F103"/>
    <mergeCell ref="I103:J104"/>
    <mergeCell ref="K103:L104"/>
    <mergeCell ref="S103:T104"/>
    <mergeCell ref="E104:F104"/>
    <mergeCell ref="B60:C60"/>
    <mergeCell ref="D60:E60"/>
    <mergeCell ref="F60:G60"/>
    <mergeCell ref="H60:I60"/>
    <mergeCell ref="K60:L60"/>
    <mergeCell ref="M60:N60"/>
    <mergeCell ref="O60:T60"/>
    <mergeCell ref="B101:B102"/>
    <mergeCell ref="G101:G102"/>
    <mergeCell ref="S101:T102"/>
    <mergeCell ref="E102:F102"/>
    <mergeCell ref="C91:D91"/>
    <mergeCell ref="E91:F91"/>
    <mergeCell ref="Q103:Q104"/>
    <mergeCell ref="M63:T63"/>
    <mergeCell ref="I91:J91"/>
    <mergeCell ref="K91:L91"/>
    <mergeCell ref="C92:D92"/>
    <mergeCell ref="S80:T80"/>
    <mergeCell ref="S82:T90"/>
    <mergeCell ref="S71:T71"/>
    <mergeCell ref="P103:P104"/>
    <mergeCell ref="P64:P67"/>
    <mergeCell ref="P68:P71"/>
    <mergeCell ref="P82:P90"/>
    <mergeCell ref="S56:T57"/>
    <mergeCell ref="S69:T69"/>
    <mergeCell ref="S70:T70"/>
    <mergeCell ref="S78:T78"/>
    <mergeCell ref="R73:R76"/>
    <mergeCell ref="M61:R61"/>
    <mergeCell ref="O82:O90"/>
    <mergeCell ref="N82:N90"/>
    <mergeCell ref="M82:M90"/>
    <mergeCell ref="R82:R90"/>
    <mergeCell ref="R103:R104"/>
    <mergeCell ref="O103:O104"/>
    <mergeCell ref="R68:R71"/>
    <mergeCell ref="R64:R67"/>
    <mergeCell ref="O73:O76"/>
    <mergeCell ref="N103:N104"/>
    <mergeCell ref="M103:M10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7:AD331"/>
  <sheetViews>
    <sheetView topLeftCell="A2" zoomScaleNormal="100" workbookViewId="0">
      <selection activeCell="S164" sqref="S164:T266"/>
    </sheetView>
  </sheetViews>
  <sheetFormatPr baseColWidth="10" defaultColWidth="11.42578125" defaultRowHeight="15" x14ac:dyDescent="0.25"/>
  <cols>
    <col min="4" max="10" width="11.42578125" customWidth="1"/>
    <col min="12" max="12" width="11.42578125" customWidth="1"/>
    <col min="13" max="14" width="11.7109375" customWidth="1"/>
    <col min="15" max="15" width="11.42578125" customWidth="1"/>
    <col min="16" max="16" width="12" customWidth="1"/>
    <col min="17" max="19" width="11.42578125" customWidth="1"/>
    <col min="20" max="20" width="10.140625" customWidth="1"/>
    <col min="23" max="23" width="17.42578125" bestFit="1" customWidth="1"/>
    <col min="24" max="24" width="15.28515625" bestFit="1" customWidth="1"/>
    <col min="25" max="25" width="13.140625" bestFit="1" customWidth="1"/>
    <col min="26" max="26" width="12.42578125" bestFit="1" customWidth="1"/>
  </cols>
  <sheetData>
    <row r="7" spans="1:11" ht="18" x14ac:dyDescent="0.25">
      <c r="B7" s="1" t="s">
        <v>0</v>
      </c>
      <c r="K7" s="1"/>
    </row>
    <row r="9" spans="1:11" ht="18" x14ac:dyDescent="0.25">
      <c r="B9" s="441" t="s">
        <v>642</v>
      </c>
    </row>
    <row r="10" spans="1:11" ht="18" x14ac:dyDescent="0.25">
      <c r="B10" s="1"/>
    </row>
    <row r="11" spans="1:11" ht="18" x14ac:dyDescent="0.25">
      <c r="B11" s="1"/>
    </row>
    <row r="12" spans="1:11" x14ac:dyDescent="0.25">
      <c r="B12" s="171" t="s">
        <v>796</v>
      </c>
    </row>
    <row r="14" spans="1:11" x14ac:dyDescent="0.25">
      <c r="A14" s="43"/>
      <c r="B14" s="830" t="s">
        <v>797</v>
      </c>
      <c r="C14" s="830"/>
      <c r="D14" s="830"/>
      <c r="E14" s="830"/>
      <c r="F14" s="830"/>
      <c r="G14" s="830"/>
      <c r="H14" s="830"/>
      <c r="I14" s="830"/>
    </row>
    <row r="15" spans="1:11" ht="33.75" customHeight="1" x14ac:dyDescent="0.25">
      <c r="B15" s="771" t="s">
        <v>2</v>
      </c>
      <c r="C15" s="771"/>
      <c r="D15" s="26" t="s">
        <v>250</v>
      </c>
      <c r="E15" s="26" t="s">
        <v>218</v>
      </c>
      <c r="F15" s="26" t="s">
        <v>219</v>
      </c>
      <c r="G15" s="26" t="s">
        <v>220</v>
      </c>
      <c r="H15" s="26" t="s">
        <v>221</v>
      </c>
      <c r="I15" s="26" t="s">
        <v>222</v>
      </c>
    </row>
    <row r="16" spans="1:11" ht="15" customHeight="1" thickBot="1" x14ac:dyDescent="0.3">
      <c r="B16" s="1112" t="s">
        <v>7</v>
      </c>
      <c r="C16" s="1112"/>
      <c r="D16" s="166" t="s">
        <v>513</v>
      </c>
      <c r="E16" s="202">
        <v>28</v>
      </c>
      <c r="F16" s="530">
        <v>0.2857142857142857</v>
      </c>
      <c r="G16" s="530">
        <v>0.51458333333333328</v>
      </c>
      <c r="H16" s="215">
        <v>42.464285714285715</v>
      </c>
      <c r="I16" s="530">
        <v>0.25</v>
      </c>
      <c r="K16" s="540"/>
    </row>
    <row r="17" spans="2:11" ht="15.75" thickBot="1" x14ac:dyDescent="0.3">
      <c r="B17" s="1065"/>
      <c r="C17" s="1065"/>
      <c r="D17" s="421" t="s">
        <v>635</v>
      </c>
      <c r="E17" s="421">
        <v>28</v>
      </c>
      <c r="F17" s="531">
        <v>0.32142857142857145</v>
      </c>
      <c r="G17" s="531">
        <v>0.5</v>
      </c>
      <c r="H17" s="422">
        <v>43.892857142857146</v>
      </c>
      <c r="I17" s="531">
        <v>0.21428571428571427</v>
      </c>
      <c r="K17" s="540"/>
    </row>
    <row r="18" spans="2:11" ht="15.75" thickBot="1" x14ac:dyDescent="0.3">
      <c r="B18" s="1065"/>
      <c r="C18" s="1065"/>
      <c r="D18" s="421" t="s">
        <v>892</v>
      </c>
      <c r="E18" s="421">
        <v>31</v>
      </c>
      <c r="F18" s="531">
        <f>9/31</f>
        <v>0.29032258064516131</v>
      </c>
      <c r="G18" s="531">
        <v>0.5</v>
      </c>
      <c r="H18" s="422">
        <v>41.39</v>
      </c>
      <c r="I18" s="531">
        <f>8/31</f>
        <v>0.25806451612903225</v>
      </c>
      <c r="K18" s="540"/>
    </row>
    <row r="19" spans="2:11" ht="15.75" thickBot="1" x14ac:dyDescent="0.3">
      <c r="B19" s="1065"/>
      <c r="C19" s="1065"/>
      <c r="D19" s="165" t="s">
        <v>955</v>
      </c>
      <c r="E19" s="165">
        <v>28</v>
      </c>
      <c r="F19" s="399">
        <f>7/28</f>
        <v>0.25</v>
      </c>
      <c r="G19" s="399">
        <v>0.5</v>
      </c>
      <c r="H19" s="407">
        <v>40.64</v>
      </c>
      <c r="I19" s="399">
        <f>8/28</f>
        <v>0.2857142857142857</v>
      </c>
      <c r="K19" s="540"/>
    </row>
    <row r="20" spans="2:11" ht="15.75" thickBot="1" x14ac:dyDescent="0.3">
      <c r="B20" s="1065"/>
      <c r="C20" s="1065"/>
      <c r="D20" s="421" t="s">
        <v>1127</v>
      </c>
      <c r="E20" s="421">
        <v>26</v>
      </c>
      <c r="F20" s="531">
        <f>9/26</f>
        <v>0.34615384615384615</v>
      </c>
      <c r="G20" s="531">
        <v>0.50349999999999995</v>
      </c>
      <c r="H20" s="422">
        <v>39.31</v>
      </c>
      <c r="I20" s="531">
        <f>5/26</f>
        <v>0.19230769230769232</v>
      </c>
      <c r="K20" s="540"/>
    </row>
    <row r="21" spans="2:11" x14ac:dyDescent="0.25">
      <c r="B21" s="546"/>
      <c r="C21" s="546"/>
      <c r="D21" s="165" t="s">
        <v>1231</v>
      </c>
      <c r="E21" s="165">
        <v>29</v>
      </c>
      <c r="F21" s="399">
        <f>9/26</f>
        <v>0.34615384615384615</v>
      </c>
      <c r="G21" s="399">
        <v>0.55900000000000005</v>
      </c>
      <c r="H21" s="407">
        <v>39.79</v>
      </c>
      <c r="I21" s="399">
        <f>5/29</f>
        <v>0.17241379310344829</v>
      </c>
      <c r="K21" s="540"/>
    </row>
    <row r="22" spans="2:11" ht="15.75" thickBot="1" x14ac:dyDescent="0.3">
      <c r="B22" s="1111" t="s">
        <v>989</v>
      </c>
      <c r="C22" s="1111"/>
      <c r="D22" s="216"/>
      <c r="E22" s="560">
        <f>AVERAGE(E16:E21)</f>
        <v>28.333333333333332</v>
      </c>
      <c r="F22" s="559">
        <f>AVERAGE(F16:F21)</f>
        <v>0.30662885501595177</v>
      </c>
      <c r="G22" s="559">
        <f>AVERAGE(G16:G21)</f>
        <v>0.51284722222222223</v>
      </c>
      <c r="H22" s="560">
        <f>AVERAGE(H16:H21)</f>
        <v>41.247857142857143</v>
      </c>
      <c r="I22" s="559">
        <f>AVERAGE(I16:I21)</f>
        <v>0.22879766692336215</v>
      </c>
    </row>
    <row r="23" spans="2:11" ht="15" customHeight="1" thickBot="1" x14ac:dyDescent="0.3">
      <c r="B23" s="1113" t="s">
        <v>8</v>
      </c>
      <c r="C23" s="1113"/>
      <c r="D23" s="166" t="s">
        <v>513</v>
      </c>
      <c r="E23" s="202">
        <v>34</v>
      </c>
      <c r="F23" s="214">
        <f>12/34</f>
        <v>0.35294117647058826</v>
      </c>
      <c r="G23" s="214">
        <v>0.50360000000000005</v>
      </c>
      <c r="H23" s="215">
        <v>41.67</v>
      </c>
      <c r="I23" s="214">
        <f>17/34</f>
        <v>0.5</v>
      </c>
      <c r="K23" s="540"/>
    </row>
    <row r="24" spans="2:11" ht="15.75" thickBot="1" x14ac:dyDescent="0.3">
      <c r="B24" s="1065"/>
      <c r="C24" s="1065"/>
      <c r="D24" s="421" t="s">
        <v>635</v>
      </c>
      <c r="E24" s="421">
        <v>34</v>
      </c>
      <c r="F24" s="272">
        <v>0.35294117647058826</v>
      </c>
      <c r="G24" s="272">
        <v>0.5091</v>
      </c>
      <c r="H24" s="422">
        <v>41</v>
      </c>
      <c r="I24" s="272">
        <v>0.47060000000000002</v>
      </c>
      <c r="K24" s="540"/>
    </row>
    <row r="25" spans="2:11" ht="15.75" thickBot="1" x14ac:dyDescent="0.3">
      <c r="B25" s="1065"/>
      <c r="C25" s="1065"/>
      <c r="D25" s="421" t="s">
        <v>892</v>
      </c>
      <c r="E25" s="421">
        <v>35</v>
      </c>
      <c r="F25" s="272">
        <v>0.37140000000000001</v>
      </c>
      <c r="G25" s="272">
        <v>0.50360000000000005</v>
      </c>
      <c r="H25" s="422">
        <v>41</v>
      </c>
      <c r="I25" s="272">
        <v>0.51419999999999999</v>
      </c>
      <c r="K25" s="540"/>
    </row>
    <row r="26" spans="2:11" ht="15.75" thickBot="1" x14ac:dyDescent="0.3">
      <c r="B26" s="1065"/>
      <c r="C26" s="1065"/>
      <c r="D26" s="165" t="s">
        <v>955</v>
      </c>
      <c r="E26" s="165">
        <v>32</v>
      </c>
      <c r="F26" s="399">
        <f>12/32</f>
        <v>0.375</v>
      </c>
      <c r="G26" s="399">
        <v>0.50180000000000002</v>
      </c>
      <c r="H26" s="407">
        <v>41.19</v>
      </c>
      <c r="I26" s="399">
        <f>15/32</f>
        <v>0.46875</v>
      </c>
      <c r="K26" s="540"/>
    </row>
    <row r="27" spans="2:11" ht="15.75" thickBot="1" x14ac:dyDescent="0.3">
      <c r="B27" s="1065"/>
      <c r="C27" s="1065"/>
      <c r="D27" s="421" t="s">
        <v>1127</v>
      </c>
      <c r="E27" s="421">
        <v>31</v>
      </c>
      <c r="F27" s="272">
        <f>12/31</f>
        <v>0.38709677419354838</v>
      </c>
      <c r="G27" s="531">
        <v>0.52139999999999997</v>
      </c>
      <c r="H27" s="422">
        <v>41</v>
      </c>
      <c r="I27" s="272">
        <f>13/31</f>
        <v>0.41935483870967744</v>
      </c>
    </row>
    <row r="28" spans="2:11" x14ac:dyDescent="0.25">
      <c r="B28" s="546"/>
      <c r="C28" s="546"/>
      <c r="D28" s="165" t="s">
        <v>1231</v>
      </c>
      <c r="E28" s="165">
        <v>34</v>
      </c>
      <c r="F28" s="399">
        <f>13/24</f>
        <v>0.54166666666666663</v>
      </c>
      <c r="G28" s="399">
        <v>0.50349999999999995</v>
      </c>
      <c r="H28" s="407">
        <v>41.17</v>
      </c>
      <c r="I28" s="399">
        <f>16/34</f>
        <v>0.47058823529411764</v>
      </c>
    </row>
    <row r="29" spans="2:11" ht="15.75" thickBot="1" x14ac:dyDescent="0.3">
      <c r="B29" s="1111" t="s">
        <v>989</v>
      </c>
      <c r="C29" s="1111"/>
      <c r="D29" s="216"/>
      <c r="E29" s="542">
        <f>AVERAGE(E23:E28)</f>
        <v>33.333333333333336</v>
      </c>
      <c r="F29" s="559">
        <f>AVERAGE(F23:F28)</f>
        <v>0.39684096563356525</v>
      </c>
      <c r="G29" s="559">
        <f>AVERAGE(G23:G28)</f>
        <v>0.50716666666666665</v>
      </c>
      <c r="H29" s="542">
        <f>AVERAGE(H23:H28)</f>
        <v>41.171666666666674</v>
      </c>
      <c r="I29" s="559">
        <f>AVERAGE(I23:I28)</f>
        <v>0.47391551233396584</v>
      </c>
    </row>
    <row r="30" spans="2:11" x14ac:dyDescent="0.25">
      <c r="B30" s="1027" t="s">
        <v>1922</v>
      </c>
      <c r="C30" s="1027"/>
    </row>
    <row r="31" spans="2:11" ht="21" customHeight="1" x14ac:dyDescent="0.25">
      <c r="B31" s="1102" t="s">
        <v>223</v>
      </c>
      <c r="C31" s="1102"/>
      <c r="D31" s="1102"/>
      <c r="E31" s="1102"/>
      <c r="F31" s="1102"/>
      <c r="G31" s="1102"/>
      <c r="H31" s="1102"/>
    </row>
    <row r="32" spans="2:11" ht="21" customHeight="1" x14ac:dyDescent="0.25">
      <c r="B32" s="38"/>
      <c r="C32" s="38"/>
      <c r="D32" s="38"/>
      <c r="E32" s="38"/>
      <c r="F32" s="38"/>
      <c r="G32" s="38"/>
      <c r="H32" s="38"/>
    </row>
    <row r="33" spans="1:9" x14ac:dyDescent="0.25">
      <c r="B33" s="39"/>
    </row>
    <row r="34" spans="1:9" x14ac:dyDescent="0.25">
      <c r="A34" s="43"/>
      <c r="B34" s="832" t="s">
        <v>798</v>
      </c>
      <c r="C34" s="832"/>
      <c r="D34" s="832"/>
      <c r="E34" s="832"/>
      <c r="F34" s="832"/>
      <c r="G34" s="832"/>
      <c r="H34" s="832"/>
      <c r="I34" s="832"/>
    </row>
    <row r="35" spans="1:9" x14ac:dyDescent="0.25">
      <c r="A35" s="427"/>
      <c r="B35" s="1079" t="s">
        <v>7</v>
      </c>
      <c r="C35" s="1079"/>
      <c r="D35" s="1079"/>
      <c r="E35" s="1079"/>
      <c r="F35" s="1079"/>
      <c r="G35" s="1079"/>
      <c r="H35" s="413"/>
      <c r="I35" s="413"/>
    </row>
    <row r="36" spans="1:9" ht="15" customHeight="1" x14ac:dyDescent="0.25">
      <c r="B36" s="767" t="s">
        <v>224</v>
      </c>
      <c r="C36" s="767"/>
      <c r="D36" s="771" t="s">
        <v>225</v>
      </c>
      <c r="E36" s="771"/>
      <c r="F36" s="767" t="s">
        <v>226</v>
      </c>
      <c r="G36" s="771" t="s">
        <v>227</v>
      </c>
      <c r="H36" s="771"/>
      <c r="I36" s="767" t="s">
        <v>228</v>
      </c>
    </row>
    <row r="37" spans="1:9" x14ac:dyDescent="0.25">
      <c r="B37" s="771"/>
      <c r="C37" s="771"/>
      <c r="D37" s="163" t="s">
        <v>229</v>
      </c>
      <c r="E37" s="163" t="s">
        <v>230</v>
      </c>
      <c r="F37" s="771"/>
      <c r="G37" s="163" t="s">
        <v>229</v>
      </c>
      <c r="H37" s="163" t="s">
        <v>230</v>
      </c>
      <c r="I37" s="771"/>
    </row>
    <row r="38" spans="1:9" ht="21" customHeight="1" thickBot="1" x14ac:dyDescent="0.3">
      <c r="B38" s="1098" t="s">
        <v>231</v>
      </c>
      <c r="C38" s="1098"/>
      <c r="D38" s="524">
        <v>0</v>
      </c>
      <c r="E38" s="524">
        <v>1</v>
      </c>
      <c r="F38" s="166">
        <v>1</v>
      </c>
      <c r="G38" s="524">
        <v>0</v>
      </c>
      <c r="H38" s="524">
        <v>1</v>
      </c>
      <c r="I38" s="166">
        <v>36</v>
      </c>
    </row>
    <row r="39" spans="1:9" ht="21" customHeight="1" thickBot="1" x14ac:dyDescent="0.3">
      <c r="B39" s="1101" t="s">
        <v>232</v>
      </c>
      <c r="C39" s="1101"/>
      <c r="D39" s="524">
        <v>0</v>
      </c>
      <c r="E39" s="524">
        <v>1</v>
      </c>
      <c r="F39" s="166">
        <v>3</v>
      </c>
      <c r="G39" s="524">
        <v>0</v>
      </c>
      <c r="H39" s="524">
        <v>1</v>
      </c>
      <c r="I39" s="166">
        <v>85</v>
      </c>
    </row>
    <row r="40" spans="1:9" ht="21" customHeight="1" thickBot="1" x14ac:dyDescent="0.3">
      <c r="B40" s="1101" t="s">
        <v>233</v>
      </c>
      <c r="C40" s="1101"/>
      <c r="D40" s="524">
        <v>1</v>
      </c>
      <c r="E40" s="524">
        <v>0</v>
      </c>
      <c r="F40" s="166">
        <v>1</v>
      </c>
      <c r="G40" s="524">
        <v>1</v>
      </c>
      <c r="H40" s="524">
        <v>0</v>
      </c>
      <c r="I40" s="166">
        <v>16</v>
      </c>
    </row>
    <row r="41" spans="1:9" ht="31.5" customHeight="1" thickBot="1" x14ac:dyDescent="0.3">
      <c r="B41" s="1100" t="s">
        <v>234</v>
      </c>
      <c r="C41" s="1100"/>
      <c r="D41" s="525">
        <f>100%-E41</f>
        <v>0.79169999999999996</v>
      </c>
      <c r="E41" s="525">
        <v>0.20830000000000001</v>
      </c>
      <c r="F41" s="526">
        <v>24</v>
      </c>
      <c r="G41" s="525">
        <f>100%-H41</f>
        <v>0.73509933774834435</v>
      </c>
      <c r="H41" s="525">
        <f>40/151</f>
        <v>0.26490066225165565</v>
      </c>
      <c r="I41" s="526">
        <v>151</v>
      </c>
    </row>
    <row r="42" spans="1:9" x14ac:dyDescent="0.25">
      <c r="B42" s="1032" t="s">
        <v>77</v>
      </c>
      <c r="C42" s="1032"/>
      <c r="D42" s="543">
        <f>1-E42</f>
        <v>0.68965517241379315</v>
      </c>
      <c r="E42" s="543">
        <f>9/29</f>
        <v>0.31034482758620691</v>
      </c>
      <c r="F42" s="217">
        <f>SUM(F38:F41)</f>
        <v>29</v>
      </c>
      <c r="G42" s="543">
        <f>140/I42</f>
        <v>0.4861111111111111</v>
      </c>
      <c r="H42" s="543">
        <f>142/I42</f>
        <v>0.49305555555555558</v>
      </c>
      <c r="I42" s="218">
        <f>I38+I39+I40+I41</f>
        <v>288</v>
      </c>
    </row>
    <row r="43" spans="1:9" x14ac:dyDescent="0.25">
      <c r="B43" s="37"/>
      <c r="C43" s="6"/>
      <c r="D43" s="6"/>
      <c r="F43" s="6"/>
      <c r="G43" s="6"/>
    </row>
    <row r="44" spans="1:9" ht="15" customHeight="1" x14ac:dyDescent="0.25">
      <c r="B44" s="1079" t="s">
        <v>8</v>
      </c>
      <c r="C44" s="1079"/>
      <c r="D44" s="1079"/>
      <c r="E44" s="1079"/>
      <c r="F44" s="1079"/>
      <c r="G44" s="1079"/>
      <c r="H44" s="413"/>
      <c r="I44" s="413"/>
    </row>
    <row r="45" spans="1:9" ht="15" customHeight="1" x14ac:dyDescent="0.25">
      <c r="B45" s="767" t="s">
        <v>224</v>
      </c>
      <c r="C45" s="767"/>
      <c r="D45" s="771" t="s">
        <v>225</v>
      </c>
      <c r="E45" s="771"/>
      <c r="F45" s="767" t="s">
        <v>226</v>
      </c>
      <c r="G45" s="771" t="s">
        <v>227</v>
      </c>
      <c r="H45" s="771"/>
      <c r="I45" s="767" t="s">
        <v>228</v>
      </c>
    </row>
    <row r="46" spans="1:9" x14ac:dyDescent="0.25">
      <c r="B46" s="771"/>
      <c r="C46" s="771"/>
      <c r="D46" s="163" t="s">
        <v>229</v>
      </c>
      <c r="E46" s="163" t="s">
        <v>230</v>
      </c>
      <c r="F46" s="771"/>
      <c r="G46" s="163" t="s">
        <v>229</v>
      </c>
      <c r="H46" s="163" t="s">
        <v>230</v>
      </c>
      <c r="I46" s="771"/>
    </row>
    <row r="47" spans="1:9" ht="15.75" thickBot="1" x14ac:dyDescent="0.3">
      <c r="B47" s="1098" t="s">
        <v>231</v>
      </c>
      <c r="C47" s="1098"/>
      <c r="D47" s="524">
        <v>0</v>
      </c>
      <c r="E47" s="524">
        <v>1</v>
      </c>
      <c r="F47" s="166">
        <v>2</v>
      </c>
      <c r="G47" s="524">
        <v>0</v>
      </c>
      <c r="H47" s="524">
        <v>1</v>
      </c>
      <c r="I47" s="166">
        <v>37</v>
      </c>
    </row>
    <row r="48" spans="1:9" ht="15.75" thickBot="1" x14ac:dyDescent="0.3">
      <c r="B48" s="1101" t="s">
        <v>232</v>
      </c>
      <c r="C48" s="1101"/>
      <c r="D48" s="524">
        <v>0</v>
      </c>
      <c r="E48" s="524">
        <v>1</v>
      </c>
      <c r="F48" s="166">
        <v>1</v>
      </c>
      <c r="G48" s="524">
        <v>0</v>
      </c>
      <c r="H48" s="524">
        <v>1</v>
      </c>
      <c r="I48" s="166">
        <v>16</v>
      </c>
    </row>
    <row r="49" spans="2:14" ht="15.75" thickBot="1" x14ac:dyDescent="0.3">
      <c r="B49" s="1101" t="s">
        <v>233</v>
      </c>
      <c r="C49" s="1101"/>
      <c r="D49" s="524">
        <v>1</v>
      </c>
      <c r="E49" s="524">
        <v>0</v>
      </c>
      <c r="F49" s="166">
        <v>5</v>
      </c>
      <c r="G49" s="524">
        <v>0</v>
      </c>
      <c r="H49" s="524">
        <v>1</v>
      </c>
      <c r="I49" s="166">
        <v>70.8</v>
      </c>
    </row>
    <row r="50" spans="2:14" ht="15.75" thickBot="1" x14ac:dyDescent="0.3">
      <c r="B50" s="1100" t="s">
        <v>234</v>
      </c>
      <c r="C50" s="1100"/>
      <c r="D50" s="525">
        <f>16/26</f>
        <v>0.61538461538461542</v>
      </c>
      <c r="E50" s="525">
        <f>10/26</f>
        <v>0.38461538461538464</v>
      </c>
      <c r="F50" s="526">
        <v>26</v>
      </c>
      <c r="G50" s="525">
        <f>69.7/159.2</f>
        <v>0.43781407035175884</v>
      </c>
      <c r="H50" s="525">
        <f>89.5/159.2</f>
        <v>0.56218592964824121</v>
      </c>
      <c r="I50" s="526">
        <v>159.19999999999999</v>
      </c>
    </row>
    <row r="51" spans="2:14" x14ac:dyDescent="0.25">
      <c r="B51" s="1032" t="s">
        <v>77</v>
      </c>
      <c r="C51" s="1032"/>
      <c r="D51" s="543">
        <f>1-E51</f>
        <v>0.61764705882352944</v>
      </c>
      <c r="E51" s="543">
        <f>13/34</f>
        <v>0.38235294117647056</v>
      </c>
      <c r="F51" s="217">
        <f>SUM(F47:F50)</f>
        <v>34</v>
      </c>
      <c r="G51" s="543">
        <f>1-H51</f>
        <v>0.49646643109540634</v>
      </c>
      <c r="H51" s="543">
        <f>142.5/I51</f>
        <v>0.50353356890459366</v>
      </c>
      <c r="I51" s="218">
        <f>I47+I48+I49+I50</f>
        <v>283</v>
      </c>
    </row>
    <row r="52" spans="2:14" x14ac:dyDescent="0.25">
      <c r="B52" s="1027" t="s">
        <v>1922</v>
      </c>
      <c r="C52" s="1027"/>
    </row>
    <row r="53" spans="2:14" ht="23.25" customHeight="1" x14ac:dyDescent="0.25">
      <c r="B53" s="1102" t="s">
        <v>223</v>
      </c>
      <c r="C53" s="1102"/>
      <c r="D53" s="1102"/>
      <c r="E53" s="1102"/>
      <c r="F53" s="1102"/>
      <c r="G53" s="1102"/>
      <c r="H53" s="1102"/>
      <c r="I53" s="1102"/>
      <c r="J53" s="1102"/>
    </row>
    <row r="54" spans="2:14" x14ac:dyDescent="0.25">
      <c r="B54" s="38"/>
      <c r="C54" s="38"/>
      <c r="D54" s="38"/>
      <c r="E54" s="38"/>
      <c r="F54" s="38"/>
      <c r="G54" s="38"/>
      <c r="H54" s="38"/>
    </row>
    <row r="55" spans="2:14" x14ac:dyDescent="0.25">
      <c r="B55" s="38"/>
      <c r="C55" s="38"/>
      <c r="D55" s="38"/>
      <c r="E55" s="38"/>
      <c r="F55" s="38"/>
      <c r="G55" s="38"/>
      <c r="H55" s="38"/>
    </row>
    <row r="56" spans="2:14" x14ac:dyDescent="0.25">
      <c r="B56" s="832" t="s">
        <v>799</v>
      </c>
      <c r="C56" s="832"/>
      <c r="D56" s="832"/>
      <c r="E56" s="832"/>
      <c r="F56" s="832"/>
      <c r="G56" s="832"/>
      <c r="H56" s="832"/>
      <c r="I56" s="832"/>
      <c r="J56" s="832"/>
      <c r="K56" s="832"/>
      <c r="L56" s="832"/>
      <c r="M56" s="832"/>
      <c r="N56" s="832"/>
    </row>
    <row r="57" spans="2:14" ht="16.5" customHeight="1" x14ac:dyDescent="0.25">
      <c r="B57" s="38"/>
      <c r="D57" s="38"/>
      <c r="E57" s="777" t="s">
        <v>235</v>
      </c>
      <c r="F57" s="777"/>
      <c r="G57" s="777" t="s">
        <v>236</v>
      </c>
      <c r="H57" s="777"/>
      <c r="I57" s="777" t="s">
        <v>237</v>
      </c>
      <c r="J57" s="777" t="s">
        <v>238</v>
      </c>
      <c r="K57" s="777" t="s">
        <v>239</v>
      </c>
      <c r="L57" s="777" t="s">
        <v>77</v>
      </c>
      <c r="M57" s="777" t="s">
        <v>240</v>
      </c>
      <c r="N57" s="777"/>
    </row>
    <row r="58" spans="2:14" x14ac:dyDescent="0.25">
      <c r="B58" s="38"/>
      <c r="D58" s="38"/>
      <c r="E58" s="778"/>
      <c r="F58" s="778"/>
      <c r="G58" s="778"/>
      <c r="H58" s="778"/>
      <c r="I58" s="778"/>
      <c r="J58" s="778"/>
      <c r="K58" s="778"/>
      <c r="L58" s="778"/>
      <c r="M58" s="778"/>
      <c r="N58" s="778"/>
    </row>
    <row r="59" spans="2:14" ht="15" customHeight="1" thickBot="1" x14ac:dyDescent="0.3">
      <c r="B59" s="1076" t="s">
        <v>7</v>
      </c>
      <c r="C59" s="1076"/>
      <c r="D59" s="221" t="s">
        <v>241</v>
      </c>
      <c r="E59" s="1029">
        <v>4</v>
      </c>
      <c r="F59" s="1029"/>
      <c r="G59" s="1093"/>
      <c r="H59" s="1093"/>
      <c r="I59" s="545">
        <v>2</v>
      </c>
      <c r="J59" s="545">
        <v>3</v>
      </c>
      <c r="K59" s="545"/>
      <c r="L59" s="545">
        <f>SUM(E59:K59)</f>
        <v>9</v>
      </c>
      <c r="M59" s="1083">
        <f>3/9</f>
        <v>0.33333333333333331</v>
      </c>
      <c r="N59" s="1083"/>
    </row>
    <row r="60" spans="2:14" ht="15.75" thickBot="1" x14ac:dyDescent="0.3">
      <c r="B60" s="1077"/>
      <c r="C60" s="1077"/>
      <c r="D60" s="222" t="s">
        <v>242</v>
      </c>
      <c r="E60" s="1099"/>
      <c r="F60" s="1099"/>
      <c r="G60" s="1080">
        <v>1</v>
      </c>
      <c r="H60" s="1080"/>
      <c r="I60" s="541"/>
      <c r="J60" s="420">
        <v>19</v>
      </c>
      <c r="K60" s="420"/>
      <c r="L60" s="420">
        <f>SUM(E60:K60)</f>
        <v>20</v>
      </c>
      <c r="M60" s="1082"/>
      <c r="N60" s="1082"/>
    </row>
    <row r="61" spans="2:14" x14ac:dyDescent="0.25">
      <c r="B61" s="1032" t="s">
        <v>77</v>
      </c>
      <c r="C61" s="1032"/>
      <c r="D61" s="1032"/>
      <c r="E61" s="1034">
        <f>SUM(E59:E60)</f>
        <v>4</v>
      </c>
      <c r="F61" s="1034"/>
      <c r="G61" s="1034">
        <f>SUM(G59:G60)</f>
        <v>1</v>
      </c>
      <c r="H61" s="1034"/>
      <c r="I61" s="217">
        <f>SUM(I59:I60)</f>
        <v>2</v>
      </c>
      <c r="J61" s="217">
        <f>SUM(J59:J60)</f>
        <v>22</v>
      </c>
      <c r="K61" s="217">
        <f>SUM(K59:K60)</f>
        <v>0</v>
      </c>
      <c r="L61" s="217">
        <f>SUM(L59:L60)</f>
        <v>29</v>
      </c>
      <c r="M61" s="1081">
        <f>4/9</f>
        <v>0.44444444444444442</v>
      </c>
      <c r="N61" s="1081"/>
    </row>
    <row r="62" spans="2:14" ht="14.25" customHeight="1" x14ac:dyDescent="0.25">
      <c r="B62" s="38"/>
      <c r="C62" s="38"/>
      <c r="D62" s="38"/>
      <c r="E62" s="38"/>
      <c r="F62" s="38"/>
      <c r="G62" s="38"/>
      <c r="H62" s="38"/>
    </row>
    <row r="63" spans="2:14" ht="14.25" customHeight="1" x14ac:dyDescent="0.25">
      <c r="B63" s="38"/>
      <c r="D63" s="38"/>
      <c r="E63" s="777" t="s">
        <v>235</v>
      </c>
      <c r="F63" s="777"/>
      <c r="G63" s="777" t="s">
        <v>236</v>
      </c>
      <c r="H63" s="777"/>
      <c r="I63" s="777" t="s">
        <v>237</v>
      </c>
      <c r="J63" s="777" t="s">
        <v>238</v>
      </c>
      <c r="K63" s="777" t="s">
        <v>239</v>
      </c>
      <c r="L63" s="777" t="s">
        <v>77</v>
      </c>
      <c r="M63" s="777" t="s">
        <v>240</v>
      </c>
      <c r="N63" s="777"/>
    </row>
    <row r="64" spans="2:14" ht="17.25" customHeight="1" x14ac:dyDescent="0.25">
      <c r="B64" s="38"/>
      <c r="D64" s="38"/>
      <c r="E64" s="778"/>
      <c r="F64" s="778"/>
      <c r="G64" s="778"/>
      <c r="H64" s="778"/>
      <c r="I64" s="778"/>
      <c r="J64" s="778"/>
      <c r="K64" s="778"/>
      <c r="L64" s="778"/>
      <c r="M64" s="778"/>
      <c r="N64" s="778"/>
    </row>
    <row r="65" spans="2:14" ht="15.75" customHeight="1" thickBot="1" x14ac:dyDescent="0.3">
      <c r="B65" s="1076" t="s">
        <v>8</v>
      </c>
      <c r="C65" s="1076"/>
      <c r="D65" s="221" t="s">
        <v>241</v>
      </c>
      <c r="E65" s="1029">
        <v>3</v>
      </c>
      <c r="F65" s="1029"/>
      <c r="G65" s="1093"/>
      <c r="H65" s="1093"/>
      <c r="I65" s="545">
        <v>7</v>
      </c>
      <c r="J65" s="545">
        <v>3</v>
      </c>
      <c r="K65" s="545"/>
      <c r="L65" s="545">
        <f>SUM(E65:K65)</f>
        <v>13</v>
      </c>
      <c r="M65" s="1092">
        <f>9/13</f>
        <v>0.69230769230769229</v>
      </c>
      <c r="N65" s="1092"/>
    </row>
    <row r="66" spans="2:14" ht="15.75" thickBot="1" x14ac:dyDescent="0.3">
      <c r="B66" s="1077"/>
      <c r="C66" s="1077"/>
      <c r="D66" s="222" t="s">
        <v>242</v>
      </c>
      <c r="E66" s="1099"/>
      <c r="F66" s="1099"/>
      <c r="G66" s="1080">
        <v>5</v>
      </c>
      <c r="H66" s="1080"/>
      <c r="I66" s="541"/>
      <c r="J66" s="420">
        <v>16</v>
      </c>
      <c r="K66" s="420"/>
      <c r="L66" s="420">
        <f>SUM(E66:K66)</f>
        <v>21</v>
      </c>
      <c r="M66" s="1082"/>
      <c r="N66" s="1082"/>
    </row>
    <row r="67" spans="2:14" x14ac:dyDescent="0.25">
      <c r="B67" s="1032" t="s">
        <v>77</v>
      </c>
      <c r="C67" s="1032"/>
      <c r="D67" s="1032"/>
      <c r="E67" s="1034">
        <f>SUM(E65:E66)</f>
        <v>3</v>
      </c>
      <c r="F67" s="1034"/>
      <c r="G67" s="1034">
        <f>SUM(G65:G66)</f>
        <v>5</v>
      </c>
      <c r="H67" s="1034"/>
      <c r="I67" s="217">
        <f>SUM(I65:I66)</f>
        <v>7</v>
      </c>
      <c r="J67" s="217">
        <f>SUM(J65:J66)</f>
        <v>19</v>
      </c>
      <c r="K67" s="217">
        <f>SUM(K65:K66)</f>
        <v>0</v>
      </c>
      <c r="L67" s="217">
        <f>SUM(L65:L66)</f>
        <v>34</v>
      </c>
      <c r="M67" s="1081">
        <f>M65</f>
        <v>0.69230769230769229</v>
      </c>
      <c r="N67" s="1081"/>
    </row>
    <row r="68" spans="2:14" x14ac:dyDescent="0.25">
      <c r="B68" s="1027" t="s">
        <v>1922</v>
      </c>
      <c r="C68" s="1027"/>
      <c r="D68" s="442"/>
      <c r="E68" s="442"/>
      <c r="F68" s="442"/>
      <c r="G68" s="442"/>
      <c r="H68" s="442"/>
    </row>
    <row r="69" spans="2:14" x14ac:dyDescent="0.25">
      <c r="B69" s="443" t="s">
        <v>781</v>
      </c>
      <c r="C69" s="443"/>
      <c r="D69" s="443"/>
      <c r="E69" s="443"/>
      <c r="F69" s="443"/>
      <c r="G69" s="443"/>
      <c r="H69" s="443"/>
    </row>
    <row r="70" spans="2:14" x14ac:dyDescent="0.25">
      <c r="B70" s="1013" t="s">
        <v>243</v>
      </c>
      <c r="C70" s="1013"/>
      <c r="D70" s="1013"/>
      <c r="E70" s="1013"/>
      <c r="F70" s="1013"/>
      <c r="G70" s="1013"/>
      <c r="H70" s="1013"/>
    </row>
    <row r="71" spans="2:14" x14ac:dyDescent="0.25">
      <c r="B71" s="17" t="s">
        <v>244</v>
      </c>
      <c r="C71" s="17"/>
      <c r="D71" s="17"/>
      <c r="E71" s="17"/>
      <c r="F71" s="17"/>
      <c r="G71" s="17"/>
      <c r="H71" s="17"/>
    </row>
    <row r="72" spans="2:14" x14ac:dyDescent="0.25">
      <c r="B72" s="17" t="s">
        <v>245</v>
      </c>
      <c r="C72" s="17"/>
      <c r="D72" s="17"/>
      <c r="E72" s="17"/>
      <c r="F72" s="17"/>
      <c r="G72" s="17"/>
      <c r="H72" s="17"/>
    </row>
    <row r="73" spans="2:14" x14ac:dyDescent="0.25">
      <c r="B73" s="1104" t="s">
        <v>246</v>
      </c>
      <c r="C73" s="1104"/>
      <c r="D73" s="1104"/>
      <c r="E73" s="1104"/>
      <c r="F73" s="1104"/>
      <c r="G73" s="1104"/>
      <c r="H73" s="1104"/>
    </row>
    <row r="74" spans="2:14" x14ac:dyDescent="0.25">
      <c r="B74" s="1106" t="s">
        <v>247</v>
      </c>
      <c r="C74" s="1106"/>
      <c r="D74" s="1106"/>
      <c r="E74" s="1106"/>
      <c r="F74" s="1106"/>
      <c r="G74" s="1106"/>
      <c r="H74" s="1106"/>
      <c r="I74" s="1106"/>
      <c r="J74" s="1106"/>
      <c r="K74" s="1106"/>
      <c r="L74" s="1106"/>
      <c r="M74" s="1106"/>
      <c r="N74" s="1106"/>
    </row>
    <row r="75" spans="2:14" x14ac:dyDescent="0.25">
      <c r="B75" s="41"/>
      <c r="C75" s="36"/>
      <c r="D75" s="36"/>
      <c r="E75" s="36"/>
      <c r="F75" s="36"/>
      <c r="G75" s="36"/>
      <c r="H75" s="36"/>
    </row>
    <row r="76" spans="2:14" x14ac:dyDescent="0.25">
      <c r="B76" s="41"/>
      <c r="C76" s="36"/>
      <c r="D76" s="36"/>
      <c r="E76" s="36"/>
      <c r="F76" s="36"/>
      <c r="G76" s="36"/>
      <c r="H76" s="36"/>
    </row>
    <row r="77" spans="2:14" x14ac:dyDescent="0.25">
      <c r="B77" s="5" t="s">
        <v>800</v>
      </c>
      <c r="C77" s="5"/>
      <c r="D77" s="5"/>
      <c r="E77" s="5"/>
      <c r="F77" s="5"/>
      <c r="G77" s="5"/>
      <c r="H77" s="40"/>
    </row>
    <row r="78" spans="2:14" ht="15" customHeight="1" x14ac:dyDescent="0.25">
      <c r="B78" s="38"/>
      <c r="D78" s="38"/>
      <c r="E78" s="777" t="s">
        <v>235</v>
      </c>
      <c r="F78" s="777"/>
      <c r="G78" s="777" t="s">
        <v>236</v>
      </c>
      <c r="H78" s="777"/>
      <c r="I78" s="777" t="s">
        <v>237</v>
      </c>
      <c r="J78" s="777" t="s">
        <v>238</v>
      </c>
      <c r="K78" s="777" t="s">
        <v>239</v>
      </c>
      <c r="L78" s="777" t="s">
        <v>77</v>
      </c>
      <c r="M78" s="777" t="s">
        <v>240</v>
      </c>
      <c r="N78" s="777"/>
    </row>
    <row r="79" spans="2:14" x14ac:dyDescent="0.25">
      <c r="B79" s="38"/>
      <c r="D79" s="38"/>
      <c r="E79" s="778"/>
      <c r="F79" s="778"/>
      <c r="G79" s="778"/>
      <c r="H79" s="778"/>
      <c r="I79" s="778"/>
      <c r="J79" s="778"/>
      <c r="K79" s="778"/>
      <c r="L79" s="778"/>
      <c r="M79" s="778"/>
      <c r="N79" s="778"/>
    </row>
    <row r="80" spans="2:14" ht="15.75" customHeight="1" thickBot="1" x14ac:dyDescent="0.3">
      <c r="B80" s="1076" t="s">
        <v>7</v>
      </c>
      <c r="C80" s="1076"/>
      <c r="D80" s="221" t="s">
        <v>241</v>
      </c>
      <c r="E80" s="1105">
        <v>1089</v>
      </c>
      <c r="F80" s="884"/>
      <c r="G80" s="913"/>
      <c r="H80" s="913"/>
      <c r="I80" s="545">
        <v>225</v>
      </c>
      <c r="J80" s="545">
        <v>135</v>
      </c>
      <c r="K80" s="545"/>
      <c r="L80" s="671">
        <f>SUM(E80:K80)</f>
        <v>1449</v>
      </c>
      <c r="M80" s="1095">
        <f>549/1449</f>
        <v>0.37888198757763975</v>
      </c>
      <c r="N80" s="1095"/>
    </row>
    <row r="81" spans="2:14" ht="15.75" customHeight="1" thickBot="1" x14ac:dyDescent="0.3">
      <c r="B81" s="1077"/>
      <c r="C81" s="1077"/>
      <c r="D81" s="222" t="s">
        <v>242</v>
      </c>
      <c r="E81" s="1073"/>
      <c r="F81" s="1073"/>
      <c r="G81" s="1074">
        <v>144</v>
      </c>
      <c r="H81" s="1075"/>
      <c r="I81" s="541"/>
      <c r="J81" s="420">
        <v>999</v>
      </c>
      <c r="K81" s="420"/>
      <c r="L81" s="672">
        <f>SUM(E81:K81)</f>
        <v>1143</v>
      </c>
      <c r="M81" s="1097"/>
      <c r="N81" s="1097"/>
    </row>
    <row r="82" spans="2:14" x14ac:dyDescent="0.25">
      <c r="B82" s="1032" t="s">
        <v>77</v>
      </c>
      <c r="C82" s="1032"/>
      <c r="D82" s="1032"/>
      <c r="E82" s="1088"/>
      <c r="F82" s="1034"/>
      <c r="G82" s="1088"/>
      <c r="H82" s="1034"/>
      <c r="I82" s="217">
        <f>SUM(I80:I81)</f>
        <v>225</v>
      </c>
      <c r="J82" s="217">
        <f>SUM(J80:J81)</f>
        <v>1134</v>
      </c>
      <c r="K82" s="217">
        <f>SUM(K80:K81)</f>
        <v>0</v>
      </c>
      <c r="L82" s="223">
        <f>SUM(L80:L81)</f>
        <v>2592</v>
      </c>
      <c r="M82" s="1081">
        <v>0.64800000000000002</v>
      </c>
      <c r="N82" s="1081"/>
    </row>
    <row r="83" spans="2:14" ht="14.25" customHeight="1" x14ac:dyDescent="0.25">
      <c r="B83" s="38"/>
      <c r="C83" s="38"/>
      <c r="D83" s="38"/>
      <c r="E83" s="38"/>
      <c r="F83" s="38"/>
      <c r="G83" s="38"/>
      <c r="H83" s="38"/>
    </row>
    <row r="84" spans="2:14" ht="14.25" customHeight="1" x14ac:dyDescent="0.25">
      <c r="B84" s="38"/>
      <c r="D84" s="38"/>
      <c r="E84" s="777" t="s">
        <v>235</v>
      </c>
      <c r="F84" s="777"/>
      <c r="G84" s="777" t="s">
        <v>236</v>
      </c>
      <c r="H84" s="777"/>
      <c r="I84" s="777" t="s">
        <v>237</v>
      </c>
      <c r="J84" s="777" t="s">
        <v>238</v>
      </c>
      <c r="K84" s="777" t="s">
        <v>239</v>
      </c>
      <c r="L84" s="777" t="s">
        <v>77</v>
      </c>
      <c r="M84" s="777" t="s">
        <v>240</v>
      </c>
      <c r="N84" s="777"/>
    </row>
    <row r="85" spans="2:14" ht="19.5" customHeight="1" x14ac:dyDescent="0.25">
      <c r="B85" s="38"/>
      <c r="D85" s="38"/>
      <c r="E85" s="778"/>
      <c r="F85" s="778"/>
      <c r="G85" s="778"/>
      <c r="H85" s="778"/>
      <c r="I85" s="778"/>
      <c r="J85" s="778"/>
      <c r="K85" s="778"/>
      <c r="L85" s="778"/>
      <c r="M85" s="778"/>
      <c r="N85" s="778"/>
    </row>
    <row r="86" spans="2:14" ht="15.75" customHeight="1" thickBot="1" x14ac:dyDescent="0.3">
      <c r="B86" s="1076" t="s">
        <v>8</v>
      </c>
      <c r="C86" s="1076"/>
      <c r="D86" s="221" t="s">
        <v>241</v>
      </c>
      <c r="E86" s="1078">
        <v>477</v>
      </c>
      <c r="F86" s="884"/>
      <c r="G86" s="913"/>
      <c r="H86" s="913"/>
      <c r="I86" s="545">
        <v>589.5</v>
      </c>
      <c r="J86" s="545">
        <v>216</v>
      </c>
      <c r="K86" s="545"/>
      <c r="L86" s="673">
        <f>SUM(E86:K86)</f>
        <v>1282.5</v>
      </c>
      <c r="M86" s="1095">
        <f>922.5/1282.5</f>
        <v>0.7192982456140351</v>
      </c>
      <c r="N86" s="1095"/>
    </row>
    <row r="87" spans="2:14" ht="15.75" thickBot="1" x14ac:dyDescent="0.3">
      <c r="B87" s="1077"/>
      <c r="C87" s="1077"/>
      <c r="D87" s="222" t="s">
        <v>242</v>
      </c>
      <c r="E87" s="1073"/>
      <c r="F87" s="1073"/>
      <c r="G87" s="1096">
        <v>637.20000000000005</v>
      </c>
      <c r="H87" s="1075"/>
      <c r="I87" s="541"/>
      <c r="J87" s="420">
        <v>627.29999999999995</v>
      </c>
      <c r="K87" s="420"/>
      <c r="L87" s="674">
        <f>SUM(E87:K87)</f>
        <v>1264.5</v>
      </c>
      <c r="M87" s="1097"/>
      <c r="N87" s="1097"/>
    </row>
    <row r="88" spans="2:14" x14ac:dyDescent="0.25">
      <c r="B88" s="1032" t="s">
        <v>77</v>
      </c>
      <c r="C88" s="1032"/>
      <c r="D88" s="1032"/>
      <c r="E88" s="1033">
        <f>SUM(E86:F87)</f>
        <v>477</v>
      </c>
      <c r="F88" s="1034"/>
      <c r="G88" s="1033">
        <f>SUM(G86:H87)</f>
        <v>637.20000000000005</v>
      </c>
      <c r="H88" s="1034"/>
      <c r="I88" s="605">
        <f>SUM(I86:J87)</f>
        <v>1432.8</v>
      </c>
      <c r="J88" s="605">
        <f>SUM(J86:K87)</f>
        <v>843.3</v>
      </c>
      <c r="K88" s="605">
        <f>SUM(K86:L87)</f>
        <v>2547</v>
      </c>
      <c r="L88" s="605">
        <f>SUM(L86:L87)</f>
        <v>2547</v>
      </c>
      <c r="M88" s="1081">
        <f>M86</f>
        <v>0.7192982456140351</v>
      </c>
      <c r="N88" s="1081"/>
    </row>
    <row r="89" spans="2:14" x14ac:dyDescent="0.25">
      <c r="B89" s="1027" t="s">
        <v>1922</v>
      </c>
      <c r="C89" s="1027"/>
      <c r="D89" s="442"/>
      <c r="E89" s="442"/>
      <c r="F89" s="442"/>
      <c r="G89" s="442"/>
      <c r="H89" s="442"/>
    </row>
    <row r="90" spans="2:14" x14ac:dyDescent="0.25">
      <c r="B90" s="443" t="s">
        <v>781</v>
      </c>
      <c r="C90" s="443"/>
      <c r="D90" s="443"/>
      <c r="E90" s="443"/>
      <c r="F90" s="443"/>
      <c r="G90" s="443"/>
      <c r="H90" s="443"/>
    </row>
    <row r="91" spans="2:14" x14ac:dyDescent="0.25">
      <c r="B91" s="443" t="s">
        <v>243</v>
      </c>
      <c r="C91" s="443"/>
      <c r="D91" s="443"/>
      <c r="E91" s="443"/>
      <c r="F91" s="443"/>
      <c r="G91" s="443"/>
      <c r="H91" s="443"/>
    </row>
    <row r="92" spans="2:14" x14ac:dyDescent="0.25">
      <c r="B92" s="17" t="s">
        <v>244</v>
      </c>
      <c r="C92" s="17"/>
      <c r="D92" s="17"/>
      <c r="E92" s="17"/>
      <c r="F92" s="17"/>
      <c r="G92" s="17"/>
      <c r="H92" s="17"/>
    </row>
    <row r="93" spans="2:14" x14ac:dyDescent="0.25">
      <c r="B93" s="17" t="s">
        <v>245</v>
      </c>
      <c r="C93" s="17"/>
      <c r="D93" s="17"/>
      <c r="E93" s="17"/>
      <c r="F93" s="17"/>
      <c r="G93" s="17"/>
      <c r="H93" s="17"/>
    </row>
    <row r="94" spans="2:14" x14ac:dyDescent="0.25">
      <c r="B94" s="17" t="s">
        <v>246</v>
      </c>
      <c r="C94" s="17"/>
      <c r="D94" s="17"/>
      <c r="E94" s="17"/>
      <c r="F94" s="17"/>
      <c r="G94" s="17"/>
      <c r="H94" s="17"/>
    </row>
    <row r="95" spans="2:14" x14ac:dyDescent="0.25">
      <c r="B95" s="41" t="s">
        <v>247</v>
      </c>
      <c r="C95" s="42"/>
      <c r="D95" s="42"/>
      <c r="E95" s="42"/>
      <c r="F95" s="42"/>
      <c r="G95" s="42"/>
      <c r="H95" s="42"/>
    </row>
    <row r="96" spans="2:14" x14ac:dyDescent="0.25">
      <c r="B96" s="41"/>
      <c r="C96" s="42"/>
      <c r="D96" s="42"/>
      <c r="E96" s="42"/>
      <c r="F96" s="42"/>
      <c r="G96" s="42"/>
      <c r="H96" s="42"/>
    </row>
    <row r="97" spans="1:20" x14ac:dyDescent="0.25">
      <c r="B97" s="41"/>
      <c r="C97" s="42"/>
      <c r="D97" s="42"/>
      <c r="E97" s="42"/>
      <c r="F97" s="42"/>
      <c r="G97" s="42"/>
      <c r="H97" s="42"/>
    </row>
    <row r="98" spans="1:20" x14ac:dyDescent="0.25">
      <c r="A98" s="36"/>
      <c r="B98" s="5" t="s">
        <v>801</v>
      </c>
      <c r="C98" s="5"/>
      <c r="D98" s="5"/>
      <c r="E98" s="5"/>
      <c r="F98" s="5"/>
      <c r="G98" s="5"/>
    </row>
    <row r="99" spans="1:20" ht="24.75" customHeight="1" x14ac:dyDescent="0.25">
      <c r="B99" s="1079" t="s">
        <v>1495</v>
      </c>
      <c r="C99" s="1079"/>
      <c r="D99" s="1079"/>
      <c r="E99" s="1079"/>
      <c r="F99" s="1079"/>
      <c r="G99" s="1079"/>
      <c r="H99" s="1079"/>
      <c r="I99" s="1079"/>
      <c r="J99" s="1079"/>
      <c r="K99" s="1079"/>
      <c r="L99" s="1079"/>
      <c r="M99" s="1079"/>
      <c r="N99" s="1079"/>
      <c r="O99" s="1079"/>
      <c r="P99" s="1079"/>
      <c r="Q99" s="1079"/>
      <c r="R99" s="1079"/>
      <c r="S99" s="425"/>
      <c r="T99" s="425"/>
    </row>
    <row r="100" spans="1:20" ht="24.75" customHeight="1" x14ac:dyDescent="0.25">
      <c r="B100" s="777" t="s">
        <v>248</v>
      </c>
      <c r="C100" s="777"/>
      <c r="D100" s="777" t="s">
        <v>249</v>
      </c>
      <c r="E100" s="777"/>
      <c r="F100" s="777"/>
      <c r="G100" s="200" t="s">
        <v>250</v>
      </c>
      <c r="H100" s="777" t="s">
        <v>251</v>
      </c>
      <c r="I100" s="777"/>
      <c r="J100" s="200" t="s">
        <v>252</v>
      </c>
      <c r="K100" s="200" t="s">
        <v>253</v>
      </c>
      <c r="L100" s="777" t="s">
        <v>254</v>
      </c>
      <c r="M100" s="777"/>
      <c r="N100" s="777" t="s">
        <v>224</v>
      </c>
      <c r="O100" s="777"/>
      <c r="P100" s="200" t="s">
        <v>255</v>
      </c>
      <c r="Q100" s="200" t="s">
        <v>256</v>
      </c>
      <c r="R100" s="200" t="s">
        <v>257</v>
      </c>
      <c r="S100" s="1131"/>
      <c r="T100" s="1131"/>
    </row>
    <row r="101" spans="1:20" ht="24.75" customHeight="1" x14ac:dyDescent="0.25">
      <c r="B101" s="948">
        <v>37214001</v>
      </c>
      <c r="C101" s="948"/>
      <c r="D101" s="949" t="s">
        <v>1407</v>
      </c>
      <c r="E101" s="949"/>
      <c r="F101" s="949"/>
      <c r="G101" s="950" t="s">
        <v>258</v>
      </c>
      <c r="H101" s="948" t="s">
        <v>259</v>
      </c>
      <c r="I101" s="948"/>
      <c r="J101" s="951">
        <v>6</v>
      </c>
      <c r="K101" s="951">
        <v>63</v>
      </c>
      <c r="L101" s="979" t="s">
        <v>1408</v>
      </c>
      <c r="M101" s="980"/>
      <c r="N101" s="979" t="s">
        <v>260</v>
      </c>
      <c r="O101" s="980"/>
      <c r="P101" s="941">
        <v>324</v>
      </c>
      <c r="Q101" s="943">
        <v>0.125</v>
      </c>
      <c r="R101" s="923">
        <v>1</v>
      </c>
      <c r="S101" s="425"/>
      <c r="T101" s="425"/>
    </row>
    <row r="102" spans="1:20" ht="24.75" customHeight="1" x14ac:dyDescent="0.25">
      <c r="B102" s="948"/>
      <c r="C102" s="948"/>
      <c r="D102" s="949"/>
      <c r="E102" s="949"/>
      <c r="F102" s="949"/>
      <c r="G102" s="950"/>
      <c r="H102" s="948"/>
      <c r="I102" s="948"/>
      <c r="J102" s="951"/>
      <c r="K102" s="951"/>
      <c r="L102" s="981"/>
      <c r="M102" s="982"/>
      <c r="N102" s="981"/>
      <c r="O102" s="982"/>
      <c r="P102" s="942"/>
      <c r="Q102" s="944"/>
      <c r="R102" s="924"/>
      <c r="S102" s="425"/>
      <c r="T102" s="425"/>
    </row>
    <row r="103" spans="1:20" ht="24.75" customHeight="1" x14ac:dyDescent="0.25">
      <c r="B103" s="952">
        <v>37214002</v>
      </c>
      <c r="C103" s="953"/>
      <c r="D103" s="958" t="s">
        <v>1409</v>
      </c>
      <c r="E103" s="959"/>
      <c r="F103" s="960"/>
      <c r="G103" s="967" t="s">
        <v>258</v>
      </c>
      <c r="H103" s="970" t="s">
        <v>259</v>
      </c>
      <c r="I103" s="971"/>
      <c r="J103" s="976">
        <v>6</v>
      </c>
      <c r="K103" s="976">
        <v>66</v>
      </c>
      <c r="L103" s="925" t="s">
        <v>261</v>
      </c>
      <c r="M103" s="926"/>
      <c r="N103" s="927" t="s">
        <v>262</v>
      </c>
      <c r="O103" s="928"/>
      <c r="P103" s="643">
        <v>108</v>
      </c>
      <c r="Q103" s="653">
        <v>4.1666666666666664E-2</v>
      </c>
      <c r="R103" s="70">
        <v>1</v>
      </c>
      <c r="S103" s="425"/>
      <c r="T103" s="425"/>
    </row>
    <row r="104" spans="1:20" ht="24.75" customHeight="1" x14ac:dyDescent="0.25">
      <c r="B104" s="954"/>
      <c r="C104" s="955"/>
      <c r="D104" s="961"/>
      <c r="E104" s="962"/>
      <c r="F104" s="963"/>
      <c r="G104" s="968"/>
      <c r="H104" s="972"/>
      <c r="I104" s="973"/>
      <c r="J104" s="977"/>
      <c r="K104" s="977"/>
      <c r="L104" s="925" t="s">
        <v>1451</v>
      </c>
      <c r="M104" s="926"/>
      <c r="N104" s="929" t="s">
        <v>265</v>
      </c>
      <c r="O104" s="930"/>
      <c r="P104" s="643">
        <v>18</v>
      </c>
      <c r="Q104" s="653">
        <v>6.9444444444444441E-3</v>
      </c>
      <c r="R104" s="70">
        <v>1</v>
      </c>
      <c r="S104" s="425"/>
      <c r="T104" s="425"/>
    </row>
    <row r="105" spans="1:20" ht="24.75" customHeight="1" x14ac:dyDescent="0.25">
      <c r="B105" s="956"/>
      <c r="C105" s="957"/>
      <c r="D105" s="964"/>
      <c r="E105" s="965"/>
      <c r="F105" s="966"/>
      <c r="G105" s="969"/>
      <c r="H105" s="974"/>
      <c r="I105" s="975"/>
      <c r="J105" s="978"/>
      <c r="K105" s="978"/>
      <c r="L105" s="925" t="s">
        <v>1452</v>
      </c>
      <c r="M105" s="926"/>
      <c r="N105" s="929" t="s">
        <v>265</v>
      </c>
      <c r="O105" s="930"/>
      <c r="P105" s="647">
        <v>18</v>
      </c>
      <c r="Q105" s="648">
        <v>6.9444444444444441E-3</v>
      </c>
      <c r="R105" s="70">
        <v>1</v>
      </c>
      <c r="S105" s="425"/>
      <c r="T105" s="425"/>
    </row>
    <row r="106" spans="1:20" ht="24.75" customHeight="1" x14ac:dyDescent="0.25">
      <c r="B106" s="952">
        <v>37214003</v>
      </c>
      <c r="C106" s="953"/>
      <c r="D106" s="958" t="s">
        <v>1410</v>
      </c>
      <c r="E106" s="959"/>
      <c r="F106" s="960"/>
      <c r="G106" s="967" t="s">
        <v>263</v>
      </c>
      <c r="H106" s="970" t="s">
        <v>259</v>
      </c>
      <c r="I106" s="971"/>
      <c r="J106" s="976">
        <v>6</v>
      </c>
      <c r="K106" s="976">
        <v>81</v>
      </c>
      <c r="L106" s="925" t="s">
        <v>261</v>
      </c>
      <c r="M106" s="926"/>
      <c r="N106" s="927" t="s">
        <v>262</v>
      </c>
      <c r="O106" s="928"/>
      <c r="P106" s="643">
        <v>108</v>
      </c>
      <c r="Q106" s="653">
        <v>4.1666666666666664E-2</v>
      </c>
      <c r="R106" s="70">
        <v>1</v>
      </c>
      <c r="S106" s="425"/>
      <c r="T106" s="425"/>
    </row>
    <row r="107" spans="1:20" ht="24.75" customHeight="1" x14ac:dyDescent="0.25">
      <c r="B107" s="954"/>
      <c r="C107" s="955"/>
      <c r="D107" s="961"/>
      <c r="E107" s="962"/>
      <c r="F107" s="963"/>
      <c r="G107" s="968"/>
      <c r="H107" s="972"/>
      <c r="I107" s="973"/>
      <c r="J107" s="977"/>
      <c r="K107" s="977"/>
      <c r="L107" s="925" t="s">
        <v>1451</v>
      </c>
      <c r="M107" s="926"/>
      <c r="N107" s="929" t="s">
        <v>265</v>
      </c>
      <c r="O107" s="930"/>
      <c r="P107" s="647">
        <v>18</v>
      </c>
      <c r="Q107" s="648">
        <v>6.9444444444444441E-3</v>
      </c>
      <c r="R107" s="70">
        <v>1</v>
      </c>
      <c r="S107" s="425"/>
      <c r="T107" s="425"/>
    </row>
    <row r="108" spans="1:20" ht="24.75" customHeight="1" x14ac:dyDescent="0.25">
      <c r="B108" s="956"/>
      <c r="C108" s="957"/>
      <c r="D108" s="964"/>
      <c r="E108" s="965"/>
      <c r="F108" s="966"/>
      <c r="G108" s="969"/>
      <c r="H108" s="974"/>
      <c r="I108" s="975"/>
      <c r="J108" s="978"/>
      <c r="K108" s="978"/>
      <c r="L108" s="925" t="s">
        <v>1452</v>
      </c>
      <c r="M108" s="926"/>
      <c r="N108" s="929" t="s">
        <v>265</v>
      </c>
      <c r="O108" s="930"/>
      <c r="P108" s="647">
        <v>18</v>
      </c>
      <c r="Q108" s="648">
        <v>6.9444444444444441E-3</v>
      </c>
      <c r="R108" s="70">
        <v>1</v>
      </c>
      <c r="S108" s="425"/>
      <c r="T108" s="425"/>
    </row>
    <row r="109" spans="1:20" ht="24.75" customHeight="1" x14ac:dyDescent="0.25">
      <c r="B109" s="950">
        <v>37214004</v>
      </c>
      <c r="C109" s="950"/>
      <c r="D109" s="949" t="s">
        <v>1411</v>
      </c>
      <c r="E109" s="949"/>
      <c r="F109" s="949"/>
      <c r="G109" s="643" t="s">
        <v>263</v>
      </c>
      <c r="H109" s="948" t="s">
        <v>259</v>
      </c>
      <c r="I109" s="948"/>
      <c r="J109" s="604">
        <v>6</v>
      </c>
      <c r="K109" s="604">
        <v>51</v>
      </c>
      <c r="L109" s="925" t="s">
        <v>264</v>
      </c>
      <c r="M109" s="926"/>
      <c r="N109" s="929" t="s">
        <v>265</v>
      </c>
      <c r="O109" s="930"/>
      <c r="P109" s="647">
        <v>54</v>
      </c>
      <c r="Q109" s="648">
        <v>2.0799999999999999E-2</v>
      </c>
      <c r="R109" s="70">
        <v>1</v>
      </c>
      <c r="S109" s="425"/>
      <c r="T109" s="425"/>
    </row>
    <row r="110" spans="1:20" ht="24.75" customHeight="1" x14ac:dyDescent="0.25">
      <c r="B110" s="948">
        <v>37214005</v>
      </c>
      <c r="C110" s="948"/>
      <c r="D110" s="949" t="s">
        <v>1412</v>
      </c>
      <c r="E110" s="949"/>
      <c r="F110" s="949"/>
      <c r="G110" s="950" t="s">
        <v>258</v>
      </c>
      <c r="H110" s="948" t="s">
        <v>259</v>
      </c>
      <c r="I110" s="948"/>
      <c r="J110" s="951">
        <v>6</v>
      </c>
      <c r="K110" s="951">
        <v>44</v>
      </c>
      <c r="L110" s="925" t="s">
        <v>1139</v>
      </c>
      <c r="M110" s="926"/>
      <c r="N110" s="929" t="s">
        <v>281</v>
      </c>
      <c r="O110" s="930"/>
      <c r="P110" s="647">
        <v>36</v>
      </c>
      <c r="Q110" s="648">
        <v>1.3888888888888888E-2</v>
      </c>
      <c r="R110" s="923">
        <v>1</v>
      </c>
      <c r="S110" s="425"/>
      <c r="T110" s="425"/>
    </row>
    <row r="111" spans="1:20" ht="24.75" customHeight="1" x14ac:dyDescent="0.25">
      <c r="B111" s="948"/>
      <c r="C111" s="948"/>
      <c r="D111" s="949"/>
      <c r="E111" s="949"/>
      <c r="F111" s="949"/>
      <c r="G111" s="950"/>
      <c r="H111" s="948"/>
      <c r="I111" s="948"/>
      <c r="J111" s="951"/>
      <c r="K111" s="951"/>
      <c r="L111" s="925" t="s">
        <v>1413</v>
      </c>
      <c r="M111" s="926"/>
      <c r="N111" s="929" t="s">
        <v>275</v>
      </c>
      <c r="O111" s="930"/>
      <c r="P111" s="647">
        <v>18</v>
      </c>
      <c r="Q111" s="648">
        <v>6.9444444444444441E-3</v>
      </c>
      <c r="R111" s="924"/>
      <c r="S111" s="425"/>
      <c r="T111" s="425"/>
    </row>
    <row r="112" spans="1:20" ht="24.75" customHeight="1" x14ac:dyDescent="0.25">
      <c r="B112" s="1129">
        <v>37214006</v>
      </c>
      <c r="C112" s="1130"/>
      <c r="D112" s="945" t="s">
        <v>1414</v>
      </c>
      <c r="E112" s="946"/>
      <c r="F112" s="947"/>
      <c r="G112" s="643" t="s">
        <v>258</v>
      </c>
      <c r="H112" s="925" t="s">
        <v>259</v>
      </c>
      <c r="I112" s="926"/>
      <c r="J112" s="604">
        <v>6</v>
      </c>
      <c r="K112" s="604">
        <v>47</v>
      </c>
      <c r="L112" s="925" t="s">
        <v>1415</v>
      </c>
      <c r="M112" s="926"/>
      <c r="N112" s="929" t="s">
        <v>266</v>
      </c>
      <c r="O112" s="930"/>
      <c r="P112" s="647">
        <v>279</v>
      </c>
      <c r="Q112" s="648">
        <v>0.1076</v>
      </c>
      <c r="R112" s="70">
        <v>1</v>
      </c>
      <c r="S112" s="425"/>
      <c r="T112" s="425"/>
    </row>
    <row r="113" spans="2:20" ht="24.75" customHeight="1" x14ac:dyDescent="0.25">
      <c r="B113" s="950">
        <v>37214007</v>
      </c>
      <c r="C113" s="950"/>
      <c r="D113" s="949" t="s">
        <v>1416</v>
      </c>
      <c r="E113" s="949"/>
      <c r="F113" s="949"/>
      <c r="G113" s="643" t="s">
        <v>263</v>
      </c>
      <c r="H113" s="948" t="s">
        <v>259</v>
      </c>
      <c r="I113" s="948"/>
      <c r="J113" s="604">
        <v>6</v>
      </c>
      <c r="K113" s="604">
        <v>55</v>
      </c>
      <c r="L113" s="925" t="s">
        <v>1450</v>
      </c>
      <c r="M113" s="926"/>
      <c r="N113" s="929" t="s">
        <v>281</v>
      </c>
      <c r="O113" s="930"/>
      <c r="P113" s="644">
        <v>45</v>
      </c>
      <c r="Q113" s="645">
        <v>1.7399999999999999E-2</v>
      </c>
      <c r="R113" s="70">
        <v>1</v>
      </c>
      <c r="S113" s="425"/>
      <c r="T113" s="425"/>
    </row>
    <row r="114" spans="2:20" ht="24.75" customHeight="1" x14ac:dyDescent="0.25">
      <c r="B114" s="950">
        <v>37214008</v>
      </c>
      <c r="C114" s="950"/>
      <c r="D114" s="949" t="s">
        <v>1417</v>
      </c>
      <c r="E114" s="949"/>
      <c r="F114" s="949"/>
      <c r="G114" s="643" t="s">
        <v>263</v>
      </c>
      <c r="H114" s="948" t="s">
        <v>259</v>
      </c>
      <c r="I114" s="948"/>
      <c r="J114" s="604">
        <v>6</v>
      </c>
      <c r="K114" s="604">
        <v>45</v>
      </c>
      <c r="L114" s="925" t="s">
        <v>1418</v>
      </c>
      <c r="M114" s="926"/>
      <c r="N114" s="929" t="s">
        <v>266</v>
      </c>
      <c r="O114" s="930"/>
      <c r="P114" s="651">
        <v>324</v>
      </c>
      <c r="Q114" s="652">
        <v>0.125</v>
      </c>
      <c r="R114" s="70">
        <v>2</v>
      </c>
      <c r="S114" s="425"/>
      <c r="T114" s="425"/>
    </row>
    <row r="115" spans="2:20" ht="24.75" customHeight="1" x14ac:dyDescent="0.25">
      <c r="B115" s="950">
        <v>37214009</v>
      </c>
      <c r="C115" s="950"/>
      <c r="D115" s="949" t="s">
        <v>1419</v>
      </c>
      <c r="E115" s="949"/>
      <c r="F115" s="949"/>
      <c r="G115" s="643" t="s">
        <v>263</v>
      </c>
      <c r="H115" s="948" t="s">
        <v>259</v>
      </c>
      <c r="I115" s="948"/>
      <c r="J115" s="604">
        <v>6</v>
      </c>
      <c r="K115" s="604">
        <v>45</v>
      </c>
      <c r="L115" s="925" t="s">
        <v>1420</v>
      </c>
      <c r="M115" s="926"/>
      <c r="N115" s="929" t="s">
        <v>265</v>
      </c>
      <c r="O115" s="930"/>
      <c r="P115" s="643">
        <v>108</v>
      </c>
      <c r="Q115" s="653">
        <v>4.1666666666666664E-2</v>
      </c>
      <c r="R115" s="70">
        <v>1</v>
      </c>
      <c r="S115" s="425"/>
      <c r="T115" s="425"/>
    </row>
    <row r="116" spans="2:20" ht="24.75" customHeight="1" x14ac:dyDescent="0.25">
      <c r="B116" s="950">
        <v>37214010</v>
      </c>
      <c r="C116" s="950"/>
      <c r="D116" s="949" t="s">
        <v>1421</v>
      </c>
      <c r="E116" s="949"/>
      <c r="F116" s="949"/>
      <c r="G116" s="643" t="s">
        <v>258</v>
      </c>
      <c r="H116" s="948" t="s">
        <v>259</v>
      </c>
      <c r="I116" s="948"/>
      <c r="J116" s="604">
        <v>6</v>
      </c>
      <c r="K116" s="604">
        <v>52</v>
      </c>
      <c r="L116" s="925" t="s">
        <v>1420</v>
      </c>
      <c r="M116" s="926"/>
      <c r="N116" s="929" t="s">
        <v>265</v>
      </c>
      <c r="O116" s="930"/>
      <c r="P116" s="643">
        <v>108</v>
      </c>
      <c r="Q116" s="653">
        <v>4.1666666666666664E-2</v>
      </c>
      <c r="R116" s="70">
        <v>1</v>
      </c>
      <c r="S116" s="425"/>
      <c r="T116" s="425"/>
    </row>
    <row r="117" spans="2:20" ht="24.75" customHeight="1" x14ac:dyDescent="0.25">
      <c r="B117" s="950">
        <v>37214101</v>
      </c>
      <c r="C117" s="950"/>
      <c r="D117" s="949" t="s">
        <v>268</v>
      </c>
      <c r="E117" s="949"/>
      <c r="F117" s="949"/>
      <c r="G117" s="950" t="s">
        <v>258</v>
      </c>
      <c r="H117" s="948" t="s">
        <v>269</v>
      </c>
      <c r="I117" s="948"/>
      <c r="J117" s="951">
        <v>6</v>
      </c>
      <c r="K117" s="951">
        <v>46</v>
      </c>
      <c r="L117" s="925" t="s">
        <v>1408</v>
      </c>
      <c r="M117" s="926"/>
      <c r="N117" s="929" t="s">
        <v>260</v>
      </c>
      <c r="O117" s="930"/>
      <c r="P117" s="651">
        <v>324</v>
      </c>
      <c r="Q117" s="652">
        <v>0.125</v>
      </c>
      <c r="R117" s="923">
        <v>2</v>
      </c>
      <c r="S117" s="425"/>
      <c r="T117" s="425"/>
    </row>
    <row r="118" spans="2:20" ht="24.75" customHeight="1" x14ac:dyDescent="0.25">
      <c r="B118" s="950"/>
      <c r="C118" s="950"/>
      <c r="D118" s="949"/>
      <c r="E118" s="949"/>
      <c r="F118" s="949"/>
      <c r="G118" s="950"/>
      <c r="H118" s="948"/>
      <c r="I118" s="948"/>
      <c r="J118" s="951"/>
      <c r="K118" s="951"/>
      <c r="L118" s="925" t="s">
        <v>1415</v>
      </c>
      <c r="M118" s="926"/>
      <c r="N118" s="929" t="s">
        <v>266</v>
      </c>
      <c r="O118" s="930"/>
      <c r="P118" s="647">
        <v>279</v>
      </c>
      <c r="Q118" s="648">
        <v>0.1076</v>
      </c>
      <c r="R118" s="924"/>
      <c r="S118" s="425"/>
      <c r="T118" s="425"/>
    </row>
    <row r="119" spans="2:20" ht="24.75" customHeight="1" x14ac:dyDescent="0.25">
      <c r="B119" s="950">
        <v>37214102</v>
      </c>
      <c r="C119" s="950"/>
      <c r="D119" s="949" t="s">
        <v>270</v>
      </c>
      <c r="E119" s="949"/>
      <c r="F119" s="949"/>
      <c r="G119" s="643" t="s">
        <v>258</v>
      </c>
      <c r="H119" s="948" t="s">
        <v>269</v>
      </c>
      <c r="I119" s="948"/>
      <c r="J119" s="604">
        <v>6</v>
      </c>
      <c r="K119" s="604">
        <v>47</v>
      </c>
      <c r="L119" s="925" t="s">
        <v>1422</v>
      </c>
      <c r="M119" s="926"/>
      <c r="N119" s="929" t="s">
        <v>281</v>
      </c>
      <c r="O119" s="930"/>
      <c r="P119" s="649">
        <v>117</v>
      </c>
      <c r="Q119" s="650">
        <v>4.5100000000000001E-2</v>
      </c>
      <c r="R119" s="70">
        <v>2</v>
      </c>
      <c r="S119" s="425"/>
      <c r="T119" s="425"/>
    </row>
    <row r="120" spans="2:20" ht="24.75" customHeight="1" x14ac:dyDescent="0.25">
      <c r="B120" s="948">
        <v>37214103</v>
      </c>
      <c r="C120" s="948"/>
      <c r="D120" s="949" t="s">
        <v>271</v>
      </c>
      <c r="E120" s="949"/>
      <c r="F120" s="949"/>
      <c r="G120" s="950" t="s">
        <v>272</v>
      </c>
      <c r="H120" s="948" t="s">
        <v>269</v>
      </c>
      <c r="I120" s="948"/>
      <c r="J120" s="951">
        <v>6</v>
      </c>
      <c r="K120" s="951">
        <v>36</v>
      </c>
      <c r="L120" s="925" t="s">
        <v>1415</v>
      </c>
      <c r="M120" s="926"/>
      <c r="N120" s="929" t="s">
        <v>266</v>
      </c>
      <c r="O120" s="930"/>
      <c r="P120" s="647">
        <v>279</v>
      </c>
      <c r="Q120" s="648">
        <v>0.1076</v>
      </c>
      <c r="R120" s="923">
        <v>1</v>
      </c>
      <c r="S120" s="425"/>
      <c r="T120" s="425"/>
    </row>
    <row r="121" spans="2:20" ht="24.75" customHeight="1" x14ac:dyDescent="0.25">
      <c r="B121" s="948"/>
      <c r="C121" s="948"/>
      <c r="D121" s="949"/>
      <c r="E121" s="949"/>
      <c r="F121" s="949"/>
      <c r="G121" s="950"/>
      <c r="H121" s="948"/>
      <c r="I121" s="948"/>
      <c r="J121" s="951"/>
      <c r="K121" s="951"/>
      <c r="L121" s="925" t="s">
        <v>952</v>
      </c>
      <c r="M121" s="926"/>
      <c r="N121" s="929" t="s">
        <v>275</v>
      </c>
      <c r="O121" s="930"/>
      <c r="P121" s="643">
        <v>27</v>
      </c>
      <c r="Q121" s="653">
        <v>1.0416666666666666E-2</v>
      </c>
      <c r="R121" s="924"/>
      <c r="S121" s="425"/>
      <c r="T121" s="425"/>
    </row>
    <row r="122" spans="2:20" ht="24.75" customHeight="1" x14ac:dyDescent="0.25">
      <c r="B122" s="950">
        <v>37214104</v>
      </c>
      <c r="C122" s="950"/>
      <c r="D122" s="949" t="s">
        <v>1423</v>
      </c>
      <c r="E122" s="949"/>
      <c r="F122" s="949"/>
      <c r="G122" s="643" t="s">
        <v>258</v>
      </c>
      <c r="H122" s="948" t="s">
        <v>269</v>
      </c>
      <c r="I122" s="948"/>
      <c r="J122" s="604">
        <v>6</v>
      </c>
      <c r="K122" s="604">
        <v>39</v>
      </c>
      <c r="L122" s="925" t="s">
        <v>1418</v>
      </c>
      <c r="M122" s="926"/>
      <c r="N122" s="929" t="s">
        <v>266</v>
      </c>
      <c r="O122" s="930"/>
      <c r="P122" s="651">
        <v>324</v>
      </c>
      <c r="Q122" s="652">
        <v>0.125</v>
      </c>
      <c r="R122" s="70">
        <v>2</v>
      </c>
      <c r="S122" s="425"/>
      <c r="T122" s="425"/>
    </row>
    <row r="123" spans="2:20" ht="24.75" customHeight="1" x14ac:dyDescent="0.25">
      <c r="B123" s="950">
        <v>37214105</v>
      </c>
      <c r="C123" s="950"/>
      <c r="D123" s="949" t="s">
        <v>273</v>
      </c>
      <c r="E123" s="949"/>
      <c r="F123" s="949"/>
      <c r="G123" s="643" t="s">
        <v>263</v>
      </c>
      <c r="H123" s="948" t="s">
        <v>269</v>
      </c>
      <c r="I123" s="948"/>
      <c r="J123" s="604">
        <v>6</v>
      </c>
      <c r="K123" s="604">
        <v>29</v>
      </c>
      <c r="L123" s="925" t="s">
        <v>274</v>
      </c>
      <c r="M123" s="926"/>
      <c r="N123" s="929" t="s">
        <v>267</v>
      </c>
      <c r="O123" s="930"/>
      <c r="P123" s="644">
        <v>144</v>
      </c>
      <c r="Q123" s="645">
        <v>5.5599999999999997E-2</v>
      </c>
      <c r="R123" s="70">
        <v>2</v>
      </c>
      <c r="S123" s="425"/>
      <c r="T123" s="425"/>
    </row>
    <row r="124" spans="2:20" ht="24.75" customHeight="1" x14ac:dyDescent="0.25">
      <c r="B124" s="948">
        <v>37214106</v>
      </c>
      <c r="C124" s="948"/>
      <c r="D124" s="949" t="s">
        <v>1424</v>
      </c>
      <c r="E124" s="949"/>
      <c r="F124" s="949"/>
      <c r="G124" s="950" t="s">
        <v>258</v>
      </c>
      <c r="H124" s="948" t="s">
        <v>269</v>
      </c>
      <c r="I124" s="948"/>
      <c r="J124" s="951">
        <v>6</v>
      </c>
      <c r="K124" s="951">
        <v>51</v>
      </c>
      <c r="L124" s="925" t="s">
        <v>1425</v>
      </c>
      <c r="M124" s="926"/>
      <c r="N124" s="929" t="s">
        <v>265</v>
      </c>
      <c r="O124" s="930"/>
      <c r="P124" s="643">
        <v>108</v>
      </c>
      <c r="Q124" s="653">
        <v>4.1666666666666664E-2</v>
      </c>
      <c r="R124" s="923">
        <v>3</v>
      </c>
      <c r="S124" s="425"/>
      <c r="T124" s="425"/>
    </row>
    <row r="125" spans="2:20" ht="24.75" customHeight="1" x14ac:dyDescent="0.25">
      <c r="B125" s="948"/>
      <c r="C125" s="948"/>
      <c r="D125" s="949"/>
      <c r="E125" s="949"/>
      <c r="F125" s="949"/>
      <c r="G125" s="950"/>
      <c r="H125" s="948"/>
      <c r="I125" s="948"/>
      <c r="J125" s="951"/>
      <c r="K125" s="951"/>
      <c r="L125" s="925" t="s">
        <v>1426</v>
      </c>
      <c r="M125" s="926"/>
      <c r="N125" s="929" t="s">
        <v>265</v>
      </c>
      <c r="O125" s="930"/>
      <c r="P125" s="643">
        <v>27</v>
      </c>
      <c r="Q125" s="653">
        <v>1.0416666666666666E-2</v>
      </c>
      <c r="R125" s="1019"/>
      <c r="S125" s="425"/>
      <c r="T125" s="425"/>
    </row>
    <row r="126" spans="2:20" ht="24.75" customHeight="1" x14ac:dyDescent="0.25">
      <c r="B126" s="948"/>
      <c r="C126" s="948"/>
      <c r="D126" s="949"/>
      <c r="E126" s="949"/>
      <c r="F126" s="949"/>
      <c r="G126" s="950"/>
      <c r="H126" s="948"/>
      <c r="I126" s="948"/>
      <c r="J126" s="951"/>
      <c r="K126" s="951"/>
      <c r="L126" s="925" t="s">
        <v>1427</v>
      </c>
      <c r="M126" s="926"/>
      <c r="N126" s="929" t="s">
        <v>265</v>
      </c>
      <c r="O126" s="930"/>
      <c r="P126" s="647">
        <v>135</v>
      </c>
      <c r="Q126" s="648">
        <v>5.21E-2</v>
      </c>
      <c r="R126" s="924"/>
      <c r="S126" s="425"/>
      <c r="T126" s="425"/>
    </row>
    <row r="127" spans="2:20" ht="24.75" customHeight="1" x14ac:dyDescent="0.25">
      <c r="B127" s="948">
        <v>37214107</v>
      </c>
      <c r="C127" s="948"/>
      <c r="D127" s="949" t="s">
        <v>1428</v>
      </c>
      <c r="E127" s="949"/>
      <c r="F127" s="949"/>
      <c r="G127" s="950" t="s">
        <v>263</v>
      </c>
      <c r="H127" s="948" t="s">
        <v>269</v>
      </c>
      <c r="I127" s="948"/>
      <c r="J127" s="951">
        <v>12</v>
      </c>
      <c r="K127" s="951">
        <v>42</v>
      </c>
      <c r="L127" s="925" t="s">
        <v>1429</v>
      </c>
      <c r="M127" s="926"/>
      <c r="N127" s="929" t="s">
        <v>275</v>
      </c>
      <c r="O127" s="930"/>
      <c r="P127" s="649">
        <v>81</v>
      </c>
      <c r="Q127" s="650">
        <v>3.125E-2</v>
      </c>
      <c r="R127" s="923">
        <v>2</v>
      </c>
      <c r="S127" s="425"/>
      <c r="T127" s="425"/>
    </row>
    <row r="128" spans="2:20" ht="24.75" customHeight="1" x14ac:dyDescent="0.25">
      <c r="B128" s="948"/>
      <c r="C128" s="948"/>
      <c r="D128" s="949"/>
      <c r="E128" s="949"/>
      <c r="F128" s="949"/>
      <c r="G128" s="950"/>
      <c r="H128" s="948"/>
      <c r="I128" s="948"/>
      <c r="J128" s="951"/>
      <c r="K128" s="951"/>
      <c r="L128" s="925" t="s">
        <v>1418</v>
      </c>
      <c r="M128" s="926"/>
      <c r="N128" s="929" t="s">
        <v>266</v>
      </c>
      <c r="O128" s="930"/>
      <c r="P128" s="651">
        <v>324</v>
      </c>
      <c r="Q128" s="652">
        <v>0.125</v>
      </c>
      <c r="R128" s="924"/>
      <c r="S128" s="425"/>
      <c r="T128" s="425"/>
    </row>
    <row r="129" spans="2:20" ht="24.75" customHeight="1" x14ac:dyDescent="0.25">
      <c r="B129" s="948">
        <v>37214108</v>
      </c>
      <c r="C129" s="948"/>
      <c r="D129" s="949" t="s">
        <v>276</v>
      </c>
      <c r="E129" s="949"/>
      <c r="F129" s="949"/>
      <c r="G129" s="950" t="s">
        <v>272</v>
      </c>
      <c r="H129" s="948" t="s">
        <v>269</v>
      </c>
      <c r="I129" s="948"/>
      <c r="J129" s="951">
        <v>12</v>
      </c>
      <c r="K129" s="951">
        <v>35</v>
      </c>
      <c r="L129" s="925" t="s">
        <v>1430</v>
      </c>
      <c r="M129" s="926"/>
      <c r="N129" s="929" t="s">
        <v>275</v>
      </c>
      <c r="O129" s="930"/>
      <c r="P129" s="647">
        <v>54</v>
      </c>
      <c r="Q129" s="648">
        <v>2.0799999999999999E-2</v>
      </c>
      <c r="R129" s="923">
        <v>1</v>
      </c>
      <c r="S129" s="425"/>
      <c r="T129" s="425"/>
    </row>
    <row r="130" spans="2:20" ht="24.75" customHeight="1" x14ac:dyDescent="0.25">
      <c r="B130" s="948"/>
      <c r="C130" s="948"/>
      <c r="D130" s="949"/>
      <c r="E130" s="949"/>
      <c r="F130" s="949"/>
      <c r="G130" s="950"/>
      <c r="H130" s="948"/>
      <c r="I130" s="948"/>
      <c r="J130" s="951"/>
      <c r="K130" s="951"/>
      <c r="L130" s="925" t="s">
        <v>1408</v>
      </c>
      <c r="M130" s="926"/>
      <c r="N130" s="929" t="s">
        <v>260</v>
      </c>
      <c r="O130" s="930"/>
      <c r="P130" s="651">
        <v>324</v>
      </c>
      <c r="Q130" s="652">
        <v>0.125</v>
      </c>
      <c r="R130" s="924"/>
      <c r="S130" s="425"/>
      <c r="T130" s="425"/>
    </row>
    <row r="131" spans="2:20" ht="24.75" customHeight="1" x14ac:dyDescent="0.25">
      <c r="B131" s="948">
        <v>37214109</v>
      </c>
      <c r="C131" s="948"/>
      <c r="D131" s="949" t="s">
        <v>1431</v>
      </c>
      <c r="E131" s="949"/>
      <c r="F131" s="949"/>
      <c r="G131" s="643" t="s">
        <v>263</v>
      </c>
      <c r="H131" s="948" t="s">
        <v>269</v>
      </c>
      <c r="I131" s="948"/>
      <c r="J131" s="604">
        <v>6</v>
      </c>
      <c r="K131" s="604">
        <v>70</v>
      </c>
      <c r="L131" s="925" t="s">
        <v>950</v>
      </c>
      <c r="M131" s="926"/>
      <c r="N131" s="929" t="s">
        <v>266</v>
      </c>
      <c r="O131" s="930"/>
      <c r="P131" s="647">
        <v>162</v>
      </c>
      <c r="Q131" s="648">
        <v>6.25E-2</v>
      </c>
      <c r="R131" s="70">
        <v>1</v>
      </c>
      <c r="S131" s="425"/>
      <c r="T131" s="425"/>
    </row>
    <row r="132" spans="2:20" ht="24.75" customHeight="1" x14ac:dyDescent="0.25">
      <c r="B132" s="948">
        <v>37214110</v>
      </c>
      <c r="C132" s="948"/>
      <c r="D132" s="949" t="s">
        <v>277</v>
      </c>
      <c r="E132" s="949"/>
      <c r="F132" s="949"/>
      <c r="G132" s="643" t="s">
        <v>272</v>
      </c>
      <c r="H132" s="948" t="s">
        <v>269</v>
      </c>
      <c r="I132" s="948"/>
      <c r="J132" s="604">
        <v>6</v>
      </c>
      <c r="K132" s="604">
        <v>35</v>
      </c>
      <c r="L132" s="925" t="s">
        <v>1415</v>
      </c>
      <c r="M132" s="926"/>
      <c r="N132" s="929" t="s">
        <v>266</v>
      </c>
      <c r="O132" s="930"/>
      <c r="P132" s="647">
        <v>279</v>
      </c>
      <c r="Q132" s="648">
        <v>0.1076</v>
      </c>
      <c r="R132" s="70">
        <v>1</v>
      </c>
      <c r="S132" s="425"/>
      <c r="T132" s="425"/>
    </row>
    <row r="133" spans="2:20" ht="24.75" customHeight="1" x14ac:dyDescent="0.25">
      <c r="B133" s="925">
        <v>37214111</v>
      </c>
      <c r="C133" s="926"/>
      <c r="D133" s="945" t="s">
        <v>278</v>
      </c>
      <c r="E133" s="946"/>
      <c r="F133" s="947"/>
      <c r="G133" s="643" t="s">
        <v>279</v>
      </c>
      <c r="H133" s="925" t="s">
        <v>269</v>
      </c>
      <c r="I133" s="926"/>
      <c r="J133" s="604">
        <v>6</v>
      </c>
      <c r="K133" s="604">
        <v>21</v>
      </c>
      <c r="L133" s="925" t="s">
        <v>1418</v>
      </c>
      <c r="M133" s="926"/>
      <c r="N133" s="925" t="s">
        <v>266</v>
      </c>
      <c r="O133" s="926"/>
      <c r="P133" s="651">
        <v>324</v>
      </c>
      <c r="Q133" s="652">
        <v>0.125</v>
      </c>
      <c r="R133" s="646">
        <v>1</v>
      </c>
      <c r="S133" s="425"/>
      <c r="T133" s="425"/>
    </row>
    <row r="134" spans="2:20" ht="24.75" customHeight="1" x14ac:dyDescent="0.25">
      <c r="B134" s="950">
        <v>37214112</v>
      </c>
      <c r="C134" s="950"/>
      <c r="D134" s="949" t="s">
        <v>1432</v>
      </c>
      <c r="E134" s="949"/>
      <c r="F134" s="949"/>
      <c r="G134" s="643" t="s">
        <v>272</v>
      </c>
      <c r="H134" s="948" t="s">
        <v>269</v>
      </c>
      <c r="I134" s="948"/>
      <c r="J134" s="604">
        <v>6</v>
      </c>
      <c r="K134" s="604">
        <v>42</v>
      </c>
      <c r="L134" s="925" t="s">
        <v>1408</v>
      </c>
      <c r="M134" s="926"/>
      <c r="N134" s="929" t="s">
        <v>260</v>
      </c>
      <c r="O134" s="930"/>
      <c r="P134" s="651">
        <v>324</v>
      </c>
      <c r="Q134" s="652">
        <v>0.125</v>
      </c>
      <c r="R134" s="70">
        <v>1</v>
      </c>
      <c r="S134" s="425"/>
      <c r="T134" s="425"/>
    </row>
    <row r="135" spans="2:20" ht="24.75" customHeight="1" x14ac:dyDescent="0.25">
      <c r="B135" s="948">
        <v>37214113</v>
      </c>
      <c r="C135" s="948"/>
      <c r="D135" s="949" t="s">
        <v>1433</v>
      </c>
      <c r="E135" s="949"/>
      <c r="F135" s="949"/>
      <c r="G135" s="643" t="s">
        <v>272</v>
      </c>
      <c r="H135" s="948" t="s">
        <v>269</v>
      </c>
      <c r="I135" s="948"/>
      <c r="J135" s="604">
        <v>6</v>
      </c>
      <c r="K135" s="604">
        <v>34</v>
      </c>
      <c r="L135" s="925" t="s">
        <v>951</v>
      </c>
      <c r="M135" s="926"/>
      <c r="N135" s="929" t="s">
        <v>281</v>
      </c>
      <c r="O135" s="930"/>
      <c r="P135" s="647">
        <v>54</v>
      </c>
      <c r="Q135" s="648">
        <v>2.0799999999999999E-2</v>
      </c>
      <c r="R135" s="70">
        <v>1</v>
      </c>
      <c r="S135" s="425"/>
      <c r="T135" s="425"/>
    </row>
    <row r="136" spans="2:20" ht="24.75" customHeight="1" x14ac:dyDescent="0.25">
      <c r="B136" s="948">
        <v>37214114</v>
      </c>
      <c r="C136" s="948"/>
      <c r="D136" s="949" t="s">
        <v>280</v>
      </c>
      <c r="E136" s="949"/>
      <c r="F136" s="949"/>
      <c r="G136" s="643" t="s">
        <v>272</v>
      </c>
      <c r="H136" s="948" t="s">
        <v>269</v>
      </c>
      <c r="I136" s="948"/>
      <c r="J136" s="604">
        <v>6</v>
      </c>
      <c r="K136" s="604">
        <v>39</v>
      </c>
      <c r="L136" s="995" t="s">
        <v>1434</v>
      </c>
      <c r="M136" s="996"/>
      <c r="N136" s="997" t="s">
        <v>1435</v>
      </c>
      <c r="O136" s="998"/>
      <c r="P136" s="649">
        <v>45</v>
      </c>
      <c r="Q136" s="650">
        <v>1.7361111111111112E-2</v>
      </c>
      <c r="R136" s="70">
        <v>1</v>
      </c>
      <c r="S136" s="425"/>
      <c r="T136" s="425"/>
    </row>
    <row r="137" spans="2:20" ht="24.75" customHeight="1" x14ac:dyDescent="0.25">
      <c r="B137" s="948">
        <v>37214115</v>
      </c>
      <c r="C137" s="948"/>
      <c r="D137" s="949" t="s">
        <v>282</v>
      </c>
      <c r="E137" s="949"/>
      <c r="F137" s="949"/>
      <c r="G137" s="643" t="s">
        <v>279</v>
      </c>
      <c r="H137" s="948" t="s">
        <v>269</v>
      </c>
      <c r="I137" s="948"/>
      <c r="J137" s="604">
        <v>6</v>
      </c>
      <c r="K137" s="604">
        <v>20</v>
      </c>
      <c r="L137" s="925" t="s">
        <v>950</v>
      </c>
      <c r="M137" s="926"/>
      <c r="N137" s="929" t="s">
        <v>266</v>
      </c>
      <c r="O137" s="930"/>
      <c r="P137" s="647">
        <v>162</v>
      </c>
      <c r="Q137" s="648">
        <v>6.25E-2</v>
      </c>
      <c r="R137" s="70">
        <v>1</v>
      </c>
      <c r="S137" s="425"/>
      <c r="T137" s="425"/>
    </row>
    <row r="138" spans="2:20" ht="24.75" customHeight="1" x14ac:dyDescent="0.25">
      <c r="B138" s="948">
        <v>37214116</v>
      </c>
      <c r="C138" s="948"/>
      <c r="D138" s="949" t="s">
        <v>1436</v>
      </c>
      <c r="E138" s="949"/>
      <c r="F138" s="949"/>
      <c r="G138" s="950" t="s">
        <v>263</v>
      </c>
      <c r="H138" s="948" t="s">
        <v>269</v>
      </c>
      <c r="I138" s="948"/>
      <c r="J138" s="951">
        <v>6</v>
      </c>
      <c r="K138" s="951">
        <v>45</v>
      </c>
      <c r="L138" s="925" t="s">
        <v>1437</v>
      </c>
      <c r="M138" s="926"/>
      <c r="N138" s="929" t="s">
        <v>265</v>
      </c>
      <c r="O138" s="930"/>
      <c r="P138" s="643">
        <v>27</v>
      </c>
      <c r="Q138" s="653">
        <v>1.0416666666666666E-2</v>
      </c>
      <c r="R138" s="923">
        <v>1</v>
      </c>
      <c r="S138" s="425"/>
      <c r="T138" s="425"/>
    </row>
    <row r="139" spans="2:20" ht="24.75" customHeight="1" x14ac:dyDescent="0.25">
      <c r="B139" s="948"/>
      <c r="C139" s="948"/>
      <c r="D139" s="949"/>
      <c r="E139" s="949"/>
      <c r="F139" s="949"/>
      <c r="G139" s="950"/>
      <c r="H139" s="948"/>
      <c r="I139" s="948"/>
      <c r="J139" s="951"/>
      <c r="K139" s="951"/>
      <c r="L139" s="925" t="s">
        <v>1438</v>
      </c>
      <c r="M139" s="926"/>
      <c r="N139" s="929" t="s">
        <v>265</v>
      </c>
      <c r="O139" s="930"/>
      <c r="P139" s="649">
        <v>81</v>
      </c>
      <c r="Q139" s="650">
        <v>3.125E-2</v>
      </c>
      <c r="R139" s="924"/>
      <c r="S139" s="425"/>
      <c r="T139" s="425"/>
    </row>
    <row r="140" spans="2:20" ht="24.75" customHeight="1" x14ac:dyDescent="0.25">
      <c r="B140" s="948">
        <v>37214117</v>
      </c>
      <c r="C140" s="948"/>
      <c r="D140" s="949" t="s">
        <v>283</v>
      </c>
      <c r="E140" s="949"/>
      <c r="F140" s="949"/>
      <c r="G140" s="643" t="s">
        <v>272</v>
      </c>
      <c r="H140" s="948" t="s">
        <v>269</v>
      </c>
      <c r="I140" s="948"/>
      <c r="J140" s="604">
        <v>6</v>
      </c>
      <c r="K140" s="604">
        <v>39</v>
      </c>
      <c r="L140" s="925" t="s">
        <v>1427</v>
      </c>
      <c r="M140" s="926"/>
      <c r="N140" s="929" t="s">
        <v>265</v>
      </c>
      <c r="O140" s="930"/>
      <c r="P140" s="649">
        <v>135</v>
      </c>
      <c r="Q140" s="650">
        <v>5.21E-2</v>
      </c>
      <c r="R140" s="70">
        <v>1</v>
      </c>
      <c r="S140" s="425"/>
      <c r="T140" s="425"/>
    </row>
    <row r="141" spans="2:20" ht="24.75" customHeight="1" x14ac:dyDescent="0.25">
      <c r="B141" s="948">
        <v>37214118</v>
      </c>
      <c r="C141" s="948"/>
      <c r="D141" s="949" t="s">
        <v>284</v>
      </c>
      <c r="E141" s="949"/>
      <c r="F141" s="949"/>
      <c r="G141" s="950" t="s">
        <v>272</v>
      </c>
      <c r="H141" s="948" t="s">
        <v>269</v>
      </c>
      <c r="I141" s="948"/>
      <c r="J141" s="951">
        <v>6</v>
      </c>
      <c r="K141" s="951">
        <v>36</v>
      </c>
      <c r="L141" s="925" t="s">
        <v>1439</v>
      </c>
      <c r="M141" s="926"/>
      <c r="N141" s="929" t="s">
        <v>265</v>
      </c>
      <c r="O141" s="930"/>
      <c r="P141" s="643">
        <v>27</v>
      </c>
      <c r="Q141" s="653">
        <v>1.0416666666666666E-2</v>
      </c>
      <c r="R141" s="923">
        <v>1</v>
      </c>
      <c r="S141" s="425"/>
      <c r="T141" s="425"/>
    </row>
    <row r="142" spans="2:20" ht="24.75" customHeight="1" x14ac:dyDescent="0.25">
      <c r="B142" s="948"/>
      <c r="C142" s="948"/>
      <c r="D142" s="949"/>
      <c r="E142" s="949"/>
      <c r="F142" s="949"/>
      <c r="G142" s="950"/>
      <c r="H142" s="948"/>
      <c r="I142" s="948"/>
      <c r="J142" s="951"/>
      <c r="K142" s="951"/>
      <c r="L142" s="925" t="s">
        <v>1440</v>
      </c>
      <c r="M142" s="926"/>
      <c r="N142" s="929" t="s">
        <v>265</v>
      </c>
      <c r="O142" s="930"/>
      <c r="P142" s="643">
        <v>27</v>
      </c>
      <c r="Q142" s="653">
        <v>1.0416666666666666E-2</v>
      </c>
      <c r="R142" s="924"/>
      <c r="S142" s="425"/>
      <c r="T142" s="425"/>
    </row>
    <row r="143" spans="2:20" ht="24.75" customHeight="1" x14ac:dyDescent="0.25">
      <c r="B143" s="948">
        <v>37214119</v>
      </c>
      <c r="C143" s="948"/>
      <c r="D143" s="949" t="s">
        <v>285</v>
      </c>
      <c r="E143" s="949"/>
      <c r="F143" s="949"/>
      <c r="G143" s="643" t="s">
        <v>279</v>
      </c>
      <c r="H143" s="948" t="s">
        <v>269</v>
      </c>
      <c r="I143" s="948"/>
      <c r="J143" s="604">
        <v>6</v>
      </c>
      <c r="K143" s="604">
        <v>24</v>
      </c>
      <c r="L143" s="925" t="s">
        <v>1438</v>
      </c>
      <c r="M143" s="926"/>
      <c r="N143" s="929" t="s">
        <v>265</v>
      </c>
      <c r="O143" s="930"/>
      <c r="P143" s="649">
        <v>81</v>
      </c>
      <c r="Q143" s="650">
        <v>3.125E-2</v>
      </c>
      <c r="R143" s="70">
        <v>1</v>
      </c>
      <c r="S143" s="425"/>
      <c r="T143" s="425"/>
    </row>
    <row r="144" spans="2:20" ht="24.75" customHeight="1" x14ac:dyDescent="0.25">
      <c r="B144" s="948">
        <v>37214120</v>
      </c>
      <c r="C144" s="948"/>
      <c r="D144" s="949" t="s">
        <v>1441</v>
      </c>
      <c r="E144" s="949"/>
      <c r="F144" s="949"/>
      <c r="G144" s="643" t="s">
        <v>279</v>
      </c>
      <c r="H144" s="948" t="s">
        <v>269</v>
      </c>
      <c r="I144" s="948"/>
      <c r="J144" s="604">
        <v>6</v>
      </c>
      <c r="K144" s="604">
        <v>17</v>
      </c>
      <c r="L144" s="925" t="s">
        <v>274</v>
      </c>
      <c r="M144" s="926"/>
      <c r="N144" s="929" t="s">
        <v>267</v>
      </c>
      <c r="O144" s="930"/>
      <c r="P144" s="647">
        <v>144</v>
      </c>
      <c r="Q144" s="648">
        <v>5.5599999999999997E-2</v>
      </c>
      <c r="R144" s="70">
        <v>1</v>
      </c>
      <c r="S144" s="425"/>
      <c r="T144" s="425"/>
    </row>
    <row r="145" spans="2:20" ht="24.75" customHeight="1" x14ac:dyDescent="0.25">
      <c r="B145" s="950">
        <v>37214121</v>
      </c>
      <c r="C145" s="950"/>
      <c r="D145" s="949" t="s">
        <v>1442</v>
      </c>
      <c r="E145" s="949"/>
      <c r="F145" s="949"/>
      <c r="G145" s="643" t="s">
        <v>272</v>
      </c>
      <c r="H145" s="948" t="s">
        <v>269</v>
      </c>
      <c r="I145" s="948"/>
      <c r="J145" s="604">
        <v>6</v>
      </c>
      <c r="K145" s="604">
        <v>38</v>
      </c>
      <c r="L145" s="925" t="s">
        <v>1443</v>
      </c>
      <c r="M145" s="926"/>
      <c r="N145" s="929" t="s">
        <v>265</v>
      </c>
      <c r="O145" s="930"/>
      <c r="P145" s="647">
        <v>54</v>
      </c>
      <c r="Q145" s="648">
        <v>2.0799999999999999E-2</v>
      </c>
      <c r="R145" s="70">
        <v>1</v>
      </c>
      <c r="S145" s="425"/>
      <c r="T145" s="425"/>
    </row>
    <row r="146" spans="2:20" ht="24.75" customHeight="1" x14ac:dyDescent="0.25">
      <c r="B146" s="1129">
        <v>37214202</v>
      </c>
      <c r="C146" s="1130"/>
      <c r="D146" s="945" t="s">
        <v>1454</v>
      </c>
      <c r="E146" s="946"/>
      <c r="F146" s="947"/>
      <c r="G146" s="643" t="s">
        <v>279</v>
      </c>
      <c r="H146" s="925" t="s">
        <v>286</v>
      </c>
      <c r="I146" s="926"/>
      <c r="J146" s="604">
        <v>6</v>
      </c>
      <c r="K146" s="604">
        <v>16</v>
      </c>
      <c r="L146" s="925" t="s">
        <v>1453</v>
      </c>
      <c r="M146" s="926"/>
      <c r="N146" s="929" t="s">
        <v>265</v>
      </c>
      <c r="O146" s="930"/>
      <c r="P146" s="647">
        <v>54</v>
      </c>
      <c r="Q146" s="648">
        <v>2.0799999999999999E-2</v>
      </c>
      <c r="R146" s="70">
        <v>1</v>
      </c>
      <c r="S146" s="425"/>
      <c r="T146" s="425"/>
    </row>
    <row r="147" spans="2:20" ht="24.75" customHeight="1" x14ac:dyDescent="0.25">
      <c r="B147" s="925">
        <v>37214203</v>
      </c>
      <c r="C147" s="926"/>
      <c r="D147" s="945" t="s">
        <v>1449</v>
      </c>
      <c r="E147" s="946"/>
      <c r="F147" s="947"/>
      <c r="G147" s="643" t="s">
        <v>279</v>
      </c>
      <c r="H147" s="925" t="s">
        <v>286</v>
      </c>
      <c r="I147" s="926"/>
      <c r="J147" s="604">
        <v>6</v>
      </c>
      <c r="K147" s="604">
        <v>10</v>
      </c>
      <c r="L147" s="925" t="s">
        <v>1425</v>
      </c>
      <c r="M147" s="926"/>
      <c r="N147" s="929" t="s">
        <v>265</v>
      </c>
      <c r="O147" s="930"/>
      <c r="P147" s="643">
        <v>108</v>
      </c>
      <c r="Q147" s="653">
        <v>4.1666666666666664E-2</v>
      </c>
      <c r="R147" s="70">
        <v>1</v>
      </c>
      <c r="S147" s="425"/>
      <c r="T147" s="425"/>
    </row>
    <row r="148" spans="2:20" ht="24.75" customHeight="1" x14ac:dyDescent="0.25">
      <c r="B148" s="970">
        <v>37214204</v>
      </c>
      <c r="C148" s="971"/>
      <c r="D148" s="983" t="s">
        <v>1444</v>
      </c>
      <c r="E148" s="984"/>
      <c r="F148" s="985"/>
      <c r="G148" s="976" t="s">
        <v>279</v>
      </c>
      <c r="H148" s="979" t="s">
        <v>286</v>
      </c>
      <c r="I148" s="980"/>
      <c r="J148" s="976">
        <v>6</v>
      </c>
      <c r="K148" s="976">
        <v>7</v>
      </c>
      <c r="L148" s="925" t="s">
        <v>1408</v>
      </c>
      <c r="M148" s="926"/>
      <c r="N148" s="929" t="s">
        <v>260</v>
      </c>
      <c r="O148" s="930"/>
      <c r="P148" s="651">
        <v>324</v>
      </c>
      <c r="Q148" s="652">
        <v>0.125</v>
      </c>
      <c r="R148" s="923">
        <v>1</v>
      </c>
      <c r="S148" s="425"/>
      <c r="T148" s="425"/>
    </row>
    <row r="149" spans="2:20" ht="24.75" customHeight="1" x14ac:dyDescent="0.25">
      <c r="B149" s="974"/>
      <c r="C149" s="975"/>
      <c r="D149" s="986"/>
      <c r="E149" s="987"/>
      <c r="F149" s="988"/>
      <c r="G149" s="978"/>
      <c r="H149" s="981"/>
      <c r="I149" s="982"/>
      <c r="J149" s="978"/>
      <c r="K149" s="978"/>
      <c r="L149" s="948" t="s">
        <v>1445</v>
      </c>
      <c r="M149" s="948"/>
      <c r="N149" s="997" t="s">
        <v>1446</v>
      </c>
      <c r="O149" s="998"/>
      <c r="P149" s="647">
        <v>36</v>
      </c>
      <c r="Q149" s="648">
        <v>1.3888888888888888E-2</v>
      </c>
      <c r="R149" s="924"/>
      <c r="S149" s="425"/>
      <c r="T149" s="425"/>
    </row>
    <row r="150" spans="2:20" ht="24.75" customHeight="1" x14ac:dyDescent="0.25">
      <c r="B150" s="948">
        <v>37214206</v>
      </c>
      <c r="C150" s="948"/>
      <c r="D150" s="949" t="s">
        <v>1447</v>
      </c>
      <c r="E150" s="949"/>
      <c r="F150" s="949"/>
      <c r="G150" s="643" t="s">
        <v>279</v>
      </c>
      <c r="H150" s="948" t="s">
        <v>286</v>
      </c>
      <c r="I150" s="948"/>
      <c r="J150" s="604">
        <v>6</v>
      </c>
      <c r="K150" s="604">
        <v>9</v>
      </c>
      <c r="L150" s="925" t="s">
        <v>1448</v>
      </c>
      <c r="M150" s="926"/>
      <c r="N150" s="997" t="s">
        <v>266</v>
      </c>
      <c r="O150" s="998"/>
      <c r="P150" s="647">
        <v>279</v>
      </c>
      <c r="Q150" s="648">
        <v>0.1076</v>
      </c>
      <c r="R150" s="70">
        <v>1</v>
      </c>
      <c r="S150" s="425"/>
      <c r="T150" s="425"/>
    </row>
    <row r="151" spans="2:20" ht="24.75" customHeight="1" x14ac:dyDescent="0.25">
      <c r="B151" s="948">
        <v>37214301</v>
      </c>
      <c r="C151" s="948"/>
      <c r="D151" s="949" t="s">
        <v>287</v>
      </c>
      <c r="E151" s="949"/>
      <c r="F151" s="949"/>
      <c r="G151" s="950" t="s">
        <v>279</v>
      </c>
      <c r="H151" s="948" t="s">
        <v>269</v>
      </c>
      <c r="I151" s="948"/>
      <c r="J151" s="951">
        <v>12</v>
      </c>
      <c r="K151" s="951">
        <v>27</v>
      </c>
      <c r="L151" s="925" t="s">
        <v>1418</v>
      </c>
      <c r="M151" s="926"/>
      <c r="N151" s="929" t="s">
        <v>266</v>
      </c>
      <c r="O151" s="930"/>
      <c r="P151" s="651">
        <v>324</v>
      </c>
      <c r="Q151" s="652">
        <v>0.125</v>
      </c>
      <c r="R151" s="923">
        <v>1</v>
      </c>
      <c r="S151" s="425"/>
      <c r="T151" s="425"/>
    </row>
    <row r="152" spans="2:20" ht="24.75" customHeight="1" x14ac:dyDescent="0.25">
      <c r="B152" s="948"/>
      <c r="C152" s="948"/>
      <c r="D152" s="949"/>
      <c r="E152" s="949"/>
      <c r="F152" s="949"/>
      <c r="G152" s="950"/>
      <c r="H152" s="948"/>
      <c r="I152" s="948"/>
      <c r="J152" s="951"/>
      <c r="K152" s="951"/>
      <c r="L152" s="925" t="s">
        <v>1448</v>
      </c>
      <c r="M152" s="926"/>
      <c r="N152" s="997" t="s">
        <v>266</v>
      </c>
      <c r="O152" s="998"/>
      <c r="P152" s="647">
        <v>279</v>
      </c>
      <c r="Q152" s="648">
        <v>0.1076</v>
      </c>
      <c r="R152" s="1019"/>
      <c r="S152" s="425"/>
      <c r="T152" s="425"/>
    </row>
    <row r="153" spans="2:20" ht="24.75" customHeight="1" x14ac:dyDescent="0.25">
      <c r="B153" s="948"/>
      <c r="C153" s="948"/>
      <c r="D153" s="949"/>
      <c r="E153" s="949"/>
      <c r="F153" s="949"/>
      <c r="G153" s="950"/>
      <c r="H153" s="948"/>
      <c r="I153" s="948"/>
      <c r="J153" s="951"/>
      <c r="K153" s="951"/>
      <c r="L153" s="925" t="s">
        <v>951</v>
      </c>
      <c r="M153" s="926"/>
      <c r="N153" s="929" t="s">
        <v>1435</v>
      </c>
      <c r="O153" s="930"/>
      <c r="P153" s="649">
        <v>54</v>
      </c>
      <c r="Q153" s="650">
        <v>2.0799999999999999E-2</v>
      </c>
      <c r="R153" s="1019"/>
      <c r="S153" s="425"/>
      <c r="T153" s="425"/>
    </row>
    <row r="154" spans="2:20" ht="24.75" customHeight="1" x14ac:dyDescent="0.25">
      <c r="B154" s="948"/>
      <c r="C154" s="948"/>
      <c r="D154" s="949"/>
      <c r="E154" s="949"/>
      <c r="F154" s="949"/>
      <c r="G154" s="950"/>
      <c r="H154" s="948"/>
      <c r="I154" s="948"/>
      <c r="J154" s="951"/>
      <c r="K154" s="951"/>
      <c r="L154" s="925" t="s">
        <v>1408</v>
      </c>
      <c r="M154" s="926"/>
      <c r="N154" s="929" t="s">
        <v>260</v>
      </c>
      <c r="O154" s="930"/>
      <c r="P154" s="651">
        <v>324</v>
      </c>
      <c r="Q154" s="652">
        <v>0.125</v>
      </c>
      <c r="R154" s="1019"/>
      <c r="S154" s="425"/>
      <c r="T154" s="425"/>
    </row>
    <row r="155" spans="2:20" ht="24.75" customHeight="1" x14ac:dyDescent="0.25">
      <c r="B155" s="948"/>
      <c r="C155" s="948"/>
      <c r="D155" s="949"/>
      <c r="E155" s="949"/>
      <c r="F155" s="949"/>
      <c r="G155" s="950"/>
      <c r="H155" s="948"/>
      <c r="I155" s="948"/>
      <c r="J155" s="951"/>
      <c r="K155" s="951"/>
      <c r="L155" s="925" t="s">
        <v>950</v>
      </c>
      <c r="M155" s="926"/>
      <c r="N155" s="929" t="s">
        <v>266</v>
      </c>
      <c r="O155" s="930"/>
      <c r="P155" s="647">
        <v>162</v>
      </c>
      <c r="Q155" s="648">
        <v>6.25E-2</v>
      </c>
      <c r="R155" s="924"/>
      <c r="S155" s="425"/>
      <c r="T155" s="425"/>
    </row>
    <row r="156" spans="2:20" ht="24.75" customHeight="1" x14ac:dyDescent="0.25">
      <c r="B156" s="948">
        <v>37214401</v>
      </c>
      <c r="C156" s="948"/>
      <c r="D156" s="949" t="s">
        <v>288</v>
      </c>
      <c r="E156" s="949"/>
      <c r="F156" s="949"/>
      <c r="G156" s="950" t="s">
        <v>279</v>
      </c>
      <c r="H156" s="948" t="s">
        <v>269</v>
      </c>
      <c r="I156" s="948"/>
      <c r="J156" s="951">
        <v>12</v>
      </c>
      <c r="K156" s="951">
        <v>20</v>
      </c>
      <c r="L156" s="925" t="s">
        <v>1418</v>
      </c>
      <c r="M156" s="926"/>
      <c r="N156" s="929" t="s">
        <v>266</v>
      </c>
      <c r="O156" s="930"/>
      <c r="P156" s="651">
        <v>324</v>
      </c>
      <c r="Q156" s="652">
        <v>0.125</v>
      </c>
      <c r="R156" s="923">
        <v>1</v>
      </c>
      <c r="S156" s="425"/>
      <c r="T156" s="425"/>
    </row>
    <row r="157" spans="2:20" ht="24.75" customHeight="1" x14ac:dyDescent="0.25">
      <c r="B157" s="948"/>
      <c r="C157" s="948"/>
      <c r="D157" s="949"/>
      <c r="E157" s="949"/>
      <c r="F157" s="949"/>
      <c r="G157" s="950"/>
      <c r="H157" s="948"/>
      <c r="I157" s="948"/>
      <c r="J157" s="951"/>
      <c r="K157" s="951"/>
      <c r="L157" s="925" t="s">
        <v>1448</v>
      </c>
      <c r="M157" s="926"/>
      <c r="N157" s="997" t="s">
        <v>266</v>
      </c>
      <c r="O157" s="998"/>
      <c r="P157" s="649">
        <v>279</v>
      </c>
      <c r="Q157" s="648">
        <v>0.1076</v>
      </c>
      <c r="R157" s="1019"/>
      <c r="S157" s="425"/>
      <c r="T157" s="425"/>
    </row>
    <row r="158" spans="2:20" ht="24.75" customHeight="1" x14ac:dyDescent="0.25">
      <c r="B158" s="948"/>
      <c r="C158" s="948"/>
      <c r="D158" s="949"/>
      <c r="E158" s="949"/>
      <c r="F158" s="949"/>
      <c r="G158" s="950"/>
      <c r="H158" s="948"/>
      <c r="I158" s="948"/>
      <c r="J158" s="951"/>
      <c r="K158" s="951"/>
      <c r="L158" s="925" t="s">
        <v>1422</v>
      </c>
      <c r="M158" s="926"/>
      <c r="N158" s="929" t="s">
        <v>1435</v>
      </c>
      <c r="O158" s="930"/>
      <c r="P158" s="649">
        <v>117</v>
      </c>
      <c r="Q158" s="650">
        <v>4.5100000000000001E-2</v>
      </c>
      <c r="R158" s="1019"/>
      <c r="S158" s="425"/>
      <c r="T158" s="425"/>
    </row>
    <row r="159" spans="2:20" ht="24.75" customHeight="1" x14ac:dyDescent="0.25">
      <c r="B159" s="948"/>
      <c r="C159" s="948"/>
      <c r="D159" s="949"/>
      <c r="E159" s="949"/>
      <c r="F159" s="949"/>
      <c r="G159" s="950"/>
      <c r="H159" s="948"/>
      <c r="I159" s="948"/>
      <c r="J159" s="951"/>
      <c r="K159" s="951"/>
      <c r="L159" s="925" t="s">
        <v>1408</v>
      </c>
      <c r="M159" s="926"/>
      <c r="N159" s="929" t="s">
        <v>260</v>
      </c>
      <c r="O159" s="930"/>
      <c r="P159" s="651">
        <v>324</v>
      </c>
      <c r="Q159" s="652">
        <v>0.125</v>
      </c>
      <c r="R159" s="1019"/>
      <c r="S159" s="425"/>
      <c r="T159" s="425"/>
    </row>
    <row r="160" spans="2:20" ht="24.75" customHeight="1" x14ac:dyDescent="0.25">
      <c r="B160" s="948"/>
      <c r="C160" s="948"/>
      <c r="D160" s="949"/>
      <c r="E160" s="949"/>
      <c r="F160" s="949"/>
      <c r="G160" s="950"/>
      <c r="H160" s="948"/>
      <c r="I160" s="948"/>
      <c r="J160" s="951"/>
      <c r="K160" s="951"/>
      <c r="L160" s="925" t="s">
        <v>950</v>
      </c>
      <c r="M160" s="926"/>
      <c r="N160" s="929" t="s">
        <v>266</v>
      </c>
      <c r="O160" s="930"/>
      <c r="P160" s="647">
        <v>162</v>
      </c>
      <c r="Q160" s="648">
        <v>6.25E-2</v>
      </c>
      <c r="R160" s="924"/>
      <c r="S160" s="425"/>
      <c r="T160" s="425"/>
    </row>
    <row r="161" spans="1:20" x14ac:dyDescent="0.25">
      <c r="A161" s="36"/>
      <c r="B161" s="5"/>
      <c r="C161" s="5"/>
      <c r="D161" s="5"/>
      <c r="E161" s="5"/>
      <c r="F161" s="5"/>
      <c r="G161" s="5"/>
      <c r="S161" s="425"/>
      <c r="T161" s="425"/>
    </row>
    <row r="162" spans="1:20" x14ac:dyDescent="0.25">
      <c r="A162" s="36"/>
      <c r="B162" s="5"/>
      <c r="C162" s="5"/>
      <c r="D162" s="5"/>
      <c r="E162" s="5"/>
      <c r="F162" s="5"/>
      <c r="G162" s="5"/>
    </row>
    <row r="163" spans="1:20" ht="15" customHeight="1" thickBot="1" x14ac:dyDescent="0.3">
      <c r="B163" s="1079" t="s">
        <v>8</v>
      </c>
      <c r="C163" s="1079"/>
      <c r="D163" s="1079"/>
      <c r="E163" s="1079"/>
      <c r="F163" s="1079"/>
      <c r="G163" s="1079"/>
      <c r="H163" s="1079"/>
      <c r="I163" s="1079"/>
      <c r="J163" s="1079"/>
      <c r="K163" s="1079"/>
      <c r="L163" s="1079"/>
      <c r="M163" s="1079"/>
      <c r="N163" s="1079"/>
      <c r="O163" s="1079"/>
      <c r="P163" s="1079"/>
      <c r="Q163" s="1079"/>
      <c r="R163" s="1079"/>
      <c r="S163" s="425"/>
      <c r="T163" s="425"/>
    </row>
    <row r="164" spans="1:20" ht="31.5" customHeight="1" thickBot="1" x14ac:dyDescent="0.3">
      <c r="B164" s="1107" t="s">
        <v>248</v>
      </c>
      <c r="C164" s="1107"/>
      <c r="D164" s="1031" t="s">
        <v>249</v>
      </c>
      <c r="E164" s="1031"/>
      <c r="F164" s="1031"/>
      <c r="G164" s="606" t="s">
        <v>250</v>
      </c>
      <c r="H164" s="1031" t="s">
        <v>251</v>
      </c>
      <c r="I164" s="1031"/>
      <c r="J164" s="606" t="s">
        <v>252</v>
      </c>
      <c r="K164" s="606" t="s">
        <v>253</v>
      </c>
      <c r="L164" s="1031" t="s">
        <v>254</v>
      </c>
      <c r="M164" s="1031"/>
      <c r="N164" s="1031" t="s">
        <v>224</v>
      </c>
      <c r="O164" s="1031"/>
      <c r="P164" s="606" t="s">
        <v>255</v>
      </c>
      <c r="Q164" s="606" t="s">
        <v>256</v>
      </c>
      <c r="R164" s="606" t="s">
        <v>257</v>
      </c>
      <c r="S164" s="424"/>
      <c r="T164" s="424"/>
    </row>
    <row r="165" spans="1:20" ht="36.75" customHeight="1" thickBot="1" x14ac:dyDescent="0.3">
      <c r="B165" s="932">
        <v>37204010</v>
      </c>
      <c r="C165" s="933"/>
      <c r="D165" s="937" t="s">
        <v>309</v>
      </c>
      <c r="E165" s="938"/>
      <c r="F165" s="938"/>
      <c r="G165" s="989" t="s">
        <v>258</v>
      </c>
      <c r="H165" s="991" t="s">
        <v>259</v>
      </c>
      <c r="I165" s="991"/>
      <c r="J165" s="989">
        <v>9</v>
      </c>
      <c r="K165" s="989">
        <v>106</v>
      </c>
      <c r="L165" s="999" t="s">
        <v>310</v>
      </c>
      <c r="M165" s="999"/>
      <c r="N165" s="999" t="s">
        <v>260</v>
      </c>
      <c r="O165" s="999"/>
      <c r="P165" s="609">
        <v>324</v>
      </c>
      <c r="Q165" s="610">
        <v>0.12720000000000001</v>
      </c>
      <c r="R165" s="1005">
        <v>2</v>
      </c>
      <c r="S165" s="425"/>
      <c r="T165" s="425"/>
    </row>
    <row r="166" spans="1:20" ht="36.75" customHeight="1" thickBot="1" x14ac:dyDescent="0.3">
      <c r="B166" s="932"/>
      <c r="C166" s="933"/>
      <c r="D166" s="1008"/>
      <c r="E166" s="1009"/>
      <c r="F166" s="1009"/>
      <c r="G166" s="1004"/>
      <c r="H166" s="1003"/>
      <c r="I166" s="1003"/>
      <c r="J166" s="1004"/>
      <c r="K166" s="1004"/>
      <c r="L166" s="1020" t="s">
        <v>311</v>
      </c>
      <c r="M166" s="1020"/>
      <c r="N166" s="1020" t="s">
        <v>262</v>
      </c>
      <c r="O166" s="1020"/>
      <c r="P166" s="607">
        <v>117</v>
      </c>
      <c r="Q166" s="608">
        <v>4.5900000000000003E-2</v>
      </c>
      <c r="R166" s="1006"/>
      <c r="S166" s="425"/>
      <c r="T166" s="425"/>
    </row>
    <row r="167" spans="1:20" ht="36" customHeight="1" thickBot="1" x14ac:dyDescent="0.3">
      <c r="B167" s="932"/>
      <c r="C167" s="933"/>
      <c r="D167" s="1008"/>
      <c r="E167" s="1009"/>
      <c r="F167" s="1009"/>
      <c r="G167" s="1004"/>
      <c r="H167" s="1003"/>
      <c r="I167" s="1003"/>
      <c r="J167" s="1004"/>
      <c r="K167" s="1004"/>
      <c r="L167" s="1020" t="s">
        <v>312</v>
      </c>
      <c r="M167" s="1020"/>
      <c r="N167" s="1020" t="s">
        <v>313</v>
      </c>
      <c r="O167" s="1020"/>
      <c r="P167" s="607">
        <v>63</v>
      </c>
      <c r="Q167" s="608">
        <v>2.47E-2</v>
      </c>
      <c r="R167" s="1006"/>
      <c r="S167" s="425"/>
      <c r="T167" s="425"/>
    </row>
    <row r="168" spans="1:20" ht="34.5" customHeight="1" thickBot="1" x14ac:dyDescent="0.3">
      <c r="B168" s="932"/>
      <c r="C168" s="933"/>
      <c r="D168" s="1057"/>
      <c r="E168" s="1058"/>
      <c r="F168" s="1058"/>
      <c r="G168" s="1056"/>
      <c r="H168" s="1071"/>
      <c r="I168" s="1071"/>
      <c r="J168" s="1056"/>
      <c r="K168" s="1056"/>
      <c r="L168" s="1070" t="s">
        <v>323</v>
      </c>
      <c r="M168" s="1070"/>
      <c r="N168" s="1070" t="s">
        <v>313</v>
      </c>
      <c r="O168" s="1070"/>
      <c r="P168" s="613">
        <v>148.5</v>
      </c>
      <c r="Q168" s="614">
        <v>5.8299999999999998E-2</v>
      </c>
      <c r="R168" s="1026"/>
      <c r="S168" s="425"/>
      <c r="T168" s="425"/>
    </row>
    <row r="169" spans="1:20" ht="30" customHeight="1" thickBot="1" x14ac:dyDescent="0.3">
      <c r="B169" s="932">
        <v>37204004</v>
      </c>
      <c r="C169" s="933"/>
      <c r="D169" s="937" t="s">
        <v>309</v>
      </c>
      <c r="E169" s="938"/>
      <c r="F169" s="938"/>
      <c r="G169" s="989" t="s">
        <v>258</v>
      </c>
      <c r="H169" s="991" t="s">
        <v>259</v>
      </c>
      <c r="I169" s="991"/>
      <c r="J169" s="989">
        <v>12</v>
      </c>
      <c r="K169" s="989">
        <v>3</v>
      </c>
      <c r="L169" s="999" t="s">
        <v>310</v>
      </c>
      <c r="M169" s="999"/>
      <c r="N169" s="999" t="s">
        <v>260</v>
      </c>
      <c r="O169" s="999"/>
      <c r="P169" s="609">
        <v>324</v>
      </c>
      <c r="Q169" s="610">
        <v>0.12720000000000001</v>
      </c>
      <c r="R169" s="1005">
        <v>2</v>
      </c>
      <c r="S169" s="425"/>
      <c r="T169" s="425"/>
    </row>
    <row r="170" spans="1:20" ht="31.5" customHeight="1" thickBot="1" x14ac:dyDescent="0.3">
      <c r="A170" s="13"/>
      <c r="B170" s="932"/>
      <c r="C170" s="933"/>
      <c r="D170" s="1008"/>
      <c r="E170" s="1009"/>
      <c r="F170" s="1009"/>
      <c r="G170" s="1004"/>
      <c r="H170" s="1003"/>
      <c r="I170" s="1003"/>
      <c r="J170" s="1004"/>
      <c r="K170" s="1004"/>
      <c r="L170" s="1020" t="s">
        <v>311</v>
      </c>
      <c r="M170" s="1020"/>
      <c r="N170" s="1020" t="s">
        <v>262</v>
      </c>
      <c r="O170" s="1020"/>
      <c r="P170" s="607">
        <v>117</v>
      </c>
      <c r="Q170" s="608">
        <v>4.5900000000000003E-2</v>
      </c>
      <c r="R170" s="1006"/>
      <c r="S170" s="425"/>
      <c r="T170" s="425"/>
    </row>
    <row r="171" spans="1:20" ht="31.5" customHeight="1" thickBot="1" x14ac:dyDescent="0.3">
      <c r="A171" s="13"/>
      <c r="B171" s="932"/>
      <c r="C171" s="933"/>
      <c r="D171" s="1008"/>
      <c r="E171" s="1009"/>
      <c r="F171" s="1009"/>
      <c r="G171" s="1004"/>
      <c r="H171" s="1003"/>
      <c r="I171" s="1003"/>
      <c r="J171" s="1004"/>
      <c r="K171" s="1004"/>
      <c r="L171" s="1020" t="s">
        <v>312</v>
      </c>
      <c r="M171" s="1020"/>
      <c r="N171" s="1020" t="s">
        <v>313</v>
      </c>
      <c r="O171" s="1020"/>
      <c r="P171" s="607">
        <v>63</v>
      </c>
      <c r="Q171" s="608">
        <v>2.47E-2</v>
      </c>
      <c r="R171" s="1006"/>
      <c r="S171" s="425"/>
      <c r="T171" s="425"/>
    </row>
    <row r="172" spans="1:20" ht="31.5" customHeight="1" thickBot="1" x14ac:dyDescent="0.3">
      <c r="A172" s="13"/>
      <c r="B172" s="932"/>
      <c r="C172" s="933"/>
      <c r="D172" s="1057"/>
      <c r="E172" s="1058"/>
      <c r="F172" s="1058"/>
      <c r="G172" s="1056"/>
      <c r="H172" s="1071"/>
      <c r="I172" s="1071"/>
      <c r="J172" s="1056"/>
      <c r="K172" s="1056"/>
      <c r="L172" s="1070" t="s">
        <v>323</v>
      </c>
      <c r="M172" s="1070"/>
      <c r="N172" s="1070" t="s">
        <v>313</v>
      </c>
      <c r="O172" s="1070"/>
      <c r="P172" s="613">
        <v>148.5</v>
      </c>
      <c r="Q172" s="614">
        <v>5.8299999999999998E-2</v>
      </c>
      <c r="R172" s="1026"/>
      <c r="S172" s="425"/>
      <c r="T172" s="425"/>
    </row>
    <row r="173" spans="1:20" ht="35.25" customHeight="1" thickBot="1" x14ac:dyDescent="0.3">
      <c r="B173" s="932">
        <v>37204012</v>
      </c>
      <c r="C173" s="933"/>
      <c r="D173" s="1059" t="s">
        <v>893</v>
      </c>
      <c r="E173" s="1060"/>
      <c r="F173" s="1060"/>
      <c r="G173" s="619" t="s">
        <v>258</v>
      </c>
      <c r="H173" s="1072" t="s">
        <v>259</v>
      </c>
      <c r="I173" s="1072"/>
      <c r="J173" s="619">
        <v>3</v>
      </c>
      <c r="K173" s="619">
        <v>86</v>
      </c>
      <c r="L173" s="1022" t="s">
        <v>310</v>
      </c>
      <c r="M173" s="1022"/>
      <c r="N173" s="1022" t="s">
        <v>260</v>
      </c>
      <c r="O173" s="1022"/>
      <c r="P173" s="620">
        <v>324</v>
      </c>
      <c r="Q173" s="621">
        <v>0.12720000000000001</v>
      </c>
      <c r="R173" s="622">
        <v>1</v>
      </c>
      <c r="S173" s="425"/>
      <c r="T173" s="425"/>
    </row>
    <row r="174" spans="1:20" ht="42" customHeight="1" thickBot="1" x14ac:dyDescent="0.3">
      <c r="B174" s="932">
        <v>37204011</v>
      </c>
      <c r="C174" s="933"/>
      <c r="D174" s="937" t="s">
        <v>314</v>
      </c>
      <c r="E174" s="938"/>
      <c r="F174" s="938"/>
      <c r="G174" s="989" t="s">
        <v>258</v>
      </c>
      <c r="H174" s="991" t="s">
        <v>259</v>
      </c>
      <c r="I174" s="991"/>
      <c r="J174" s="989">
        <v>3</v>
      </c>
      <c r="K174" s="989">
        <v>96</v>
      </c>
      <c r="L174" s="999" t="s">
        <v>310</v>
      </c>
      <c r="M174" s="999"/>
      <c r="N174" s="999" t="s">
        <v>260</v>
      </c>
      <c r="O174" s="999"/>
      <c r="P174" s="609">
        <v>324</v>
      </c>
      <c r="Q174" s="610">
        <v>0.12720000000000001</v>
      </c>
      <c r="R174" s="1005">
        <v>1</v>
      </c>
      <c r="S174" s="425"/>
      <c r="T174" s="425"/>
    </row>
    <row r="175" spans="1:20" ht="33" customHeight="1" thickBot="1" x14ac:dyDescent="0.3">
      <c r="B175" s="932"/>
      <c r="C175" s="933"/>
      <c r="D175" s="1057"/>
      <c r="E175" s="1058"/>
      <c r="F175" s="1058"/>
      <c r="G175" s="1056"/>
      <c r="H175" s="1071"/>
      <c r="I175" s="1071"/>
      <c r="J175" s="1056"/>
      <c r="K175" s="1056"/>
      <c r="L175" s="1070" t="s">
        <v>1138</v>
      </c>
      <c r="M175" s="1070"/>
      <c r="N175" s="1070" t="s">
        <v>275</v>
      </c>
      <c r="O175" s="1070"/>
      <c r="P175" s="613">
        <v>45</v>
      </c>
      <c r="Q175" s="614">
        <v>1.77E-2</v>
      </c>
      <c r="R175" s="1026"/>
      <c r="S175" s="425"/>
      <c r="T175" s="425"/>
    </row>
    <row r="176" spans="1:20" ht="33.75" customHeight="1" thickBot="1" x14ac:dyDescent="0.3">
      <c r="B176" s="932">
        <v>37204005</v>
      </c>
      <c r="C176" s="933"/>
      <c r="D176" s="937" t="s">
        <v>314</v>
      </c>
      <c r="E176" s="938"/>
      <c r="F176" s="938"/>
      <c r="G176" s="989" t="s">
        <v>258</v>
      </c>
      <c r="H176" s="991" t="s">
        <v>259</v>
      </c>
      <c r="I176" s="991"/>
      <c r="J176" s="989">
        <v>6</v>
      </c>
      <c r="K176" s="989">
        <v>1</v>
      </c>
      <c r="L176" s="999" t="s">
        <v>310</v>
      </c>
      <c r="M176" s="999"/>
      <c r="N176" s="999" t="s">
        <v>260</v>
      </c>
      <c r="O176" s="999"/>
      <c r="P176" s="609">
        <v>324</v>
      </c>
      <c r="Q176" s="610">
        <v>0.12720000000000001</v>
      </c>
      <c r="R176" s="1005">
        <v>1</v>
      </c>
      <c r="S176" s="425"/>
      <c r="T176" s="425"/>
    </row>
    <row r="177" spans="2:20" ht="38.25" customHeight="1" thickBot="1" x14ac:dyDescent="0.3">
      <c r="B177" s="932"/>
      <c r="C177" s="933"/>
      <c r="D177" s="939"/>
      <c r="E177" s="940"/>
      <c r="F177" s="940"/>
      <c r="G177" s="990"/>
      <c r="H177" s="992"/>
      <c r="I177" s="992"/>
      <c r="J177" s="990"/>
      <c r="K177" s="990"/>
      <c r="L177" s="1000" t="s">
        <v>1138</v>
      </c>
      <c r="M177" s="1000"/>
      <c r="N177" s="1000" t="s">
        <v>275</v>
      </c>
      <c r="O177" s="1000"/>
      <c r="P177" s="611">
        <v>45</v>
      </c>
      <c r="Q177" s="612">
        <v>1.77E-2</v>
      </c>
      <c r="R177" s="1007"/>
      <c r="S177" s="425"/>
      <c r="T177" s="425"/>
    </row>
    <row r="178" spans="2:20" ht="38.25" customHeight="1" thickBot="1" x14ac:dyDescent="0.3">
      <c r="B178" s="932">
        <v>37204013</v>
      </c>
      <c r="C178" s="933"/>
      <c r="D178" s="1016" t="s">
        <v>894</v>
      </c>
      <c r="E178" s="1017"/>
      <c r="F178" s="1017"/>
      <c r="G178" s="615" t="s">
        <v>258</v>
      </c>
      <c r="H178" s="1018" t="s">
        <v>259</v>
      </c>
      <c r="I178" s="1018"/>
      <c r="J178" s="615">
        <v>3</v>
      </c>
      <c r="K178" s="615">
        <v>72</v>
      </c>
      <c r="L178" s="931" t="s">
        <v>310</v>
      </c>
      <c r="M178" s="931"/>
      <c r="N178" s="931" t="s">
        <v>260</v>
      </c>
      <c r="O178" s="931"/>
      <c r="P178" s="616">
        <v>324</v>
      </c>
      <c r="Q178" s="617">
        <v>0.12720000000000001</v>
      </c>
      <c r="R178" s="618">
        <v>1</v>
      </c>
      <c r="S178" s="425"/>
      <c r="T178" s="425"/>
    </row>
    <row r="179" spans="2:20" ht="24.75" customHeight="1" thickBot="1" x14ac:dyDescent="0.3">
      <c r="B179" s="932">
        <v>37204001</v>
      </c>
      <c r="C179" s="933"/>
      <c r="D179" s="937" t="s">
        <v>315</v>
      </c>
      <c r="E179" s="938"/>
      <c r="F179" s="938"/>
      <c r="G179" s="989" t="s">
        <v>258</v>
      </c>
      <c r="H179" s="991" t="s">
        <v>259</v>
      </c>
      <c r="I179" s="991"/>
      <c r="J179" s="989">
        <v>6</v>
      </c>
      <c r="K179" s="989">
        <v>117</v>
      </c>
      <c r="L179" s="999" t="s">
        <v>261</v>
      </c>
      <c r="M179" s="999"/>
      <c r="N179" s="999" t="s">
        <v>262</v>
      </c>
      <c r="O179" s="999"/>
      <c r="P179" s="627">
        <v>54</v>
      </c>
      <c r="Q179" s="628">
        <v>2.12E-2</v>
      </c>
      <c r="R179" s="1005">
        <v>1</v>
      </c>
      <c r="S179" s="425"/>
      <c r="T179" s="425"/>
    </row>
    <row r="180" spans="2:20" ht="31.5" customHeight="1" thickBot="1" x14ac:dyDescent="0.3">
      <c r="B180" s="932"/>
      <c r="C180" s="933"/>
      <c r="D180" s="939"/>
      <c r="E180" s="940"/>
      <c r="F180" s="940"/>
      <c r="G180" s="990"/>
      <c r="H180" s="992"/>
      <c r="I180" s="992"/>
      <c r="J180" s="990"/>
      <c r="K180" s="990"/>
      <c r="L180" s="1000" t="s">
        <v>311</v>
      </c>
      <c r="M180" s="1000"/>
      <c r="N180" s="1000" t="s">
        <v>262</v>
      </c>
      <c r="O180" s="1000"/>
      <c r="P180" s="611">
        <v>117</v>
      </c>
      <c r="Q180" s="612">
        <v>4.5900000000000003E-2</v>
      </c>
      <c r="R180" s="1007"/>
      <c r="S180" s="425"/>
      <c r="T180" s="425"/>
    </row>
    <row r="181" spans="2:20" ht="26.25" customHeight="1" thickBot="1" x14ac:dyDescent="0.3">
      <c r="B181" s="993">
        <v>37204003</v>
      </c>
      <c r="C181" s="994"/>
      <c r="D181" s="1016" t="s">
        <v>316</v>
      </c>
      <c r="E181" s="1017"/>
      <c r="F181" s="1017"/>
      <c r="G181" s="615" t="s">
        <v>258</v>
      </c>
      <c r="H181" s="1018" t="s">
        <v>259</v>
      </c>
      <c r="I181" s="1018"/>
      <c r="J181" s="615">
        <v>6</v>
      </c>
      <c r="K181" s="615">
        <v>122</v>
      </c>
      <c r="L181" s="931" t="s">
        <v>317</v>
      </c>
      <c r="M181" s="931"/>
      <c r="N181" s="931" t="s">
        <v>262</v>
      </c>
      <c r="O181" s="931"/>
      <c r="P181" s="616">
        <v>54</v>
      </c>
      <c r="Q181" s="617">
        <v>2.12E-2</v>
      </c>
      <c r="R181" s="618">
        <v>1</v>
      </c>
      <c r="S181" s="425"/>
      <c r="T181" s="425"/>
    </row>
    <row r="182" spans="2:20" ht="26.25" customHeight="1" thickBot="1" x14ac:dyDescent="0.3">
      <c r="B182" s="932">
        <v>37204002</v>
      </c>
      <c r="C182" s="933"/>
      <c r="D182" s="1016" t="s">
        <v>318</v>
      </c>
      <c r="E182" s="1017"/>
      <c r="F182" s="1017"/>
      <c r="G182" s="615" t="s">
        <v>258</v>
      </c>
      <c r="H182" s="1018" t="s">
        <v>259</v>
      </c>
      <c r="I182" s="1018"/>
      <c r="J182" s="615">
        <v>6</v>
      </c>
      <c r="K182" s="615">
        <v>100</v>
      </c>
      <c r="L182" s="931" t="s">
        <v>319</v>
      </c>
      <c r="M182" s="931"/>
      <c r="N182" s="931" t="s">
        <v>262</v>
      </c>
      <c r="O182" s="931"/>
      <c r="P182" s="616">
        <v>180</v>
      </c>
      <c r="Q182" s="617">
        <v>7.0699999999999999E-2</v>
      </c>
      <c r="R182" s="618">
        <v>1</v>
      </c>
      <c r="S182" s="425"/>
      <c r="T182" s="425"/>
    </row>
    <row r="183" spans="2:20" ht="31.5" customHeight="1" thickBot="1" x14ac:dyDescent="0.3">
      <c r="B183" s="932">
        <v>37204006</v>
      </c>
      <c r="C183" s="933"/>
      <c r="D183" s="937" t="s">
        <v>320</v>
      </c>
      <c r="E183" s="938"/>
      <c r="F183" s="938"/>
      <c r="G183" s="989" t="s">
        <v>258</v>
      </c>
      <c r="H183" s="991" t="s">
        <v>259</v>
      </c>
      <c r="I183" s="991"/>
      <c r="J183" s="989">
        <v>6</v>
      </c>
      <c r="K183" s="989">
        <v>84</v>
      </c>
      <c r="L183" s="999" t="s">
        <v>310</v>
      </c>
      <c r="M183" s="999"/>
      <c r="N183" s="999" t="s">
        <v>260</v>
      </c>
      <c r="O183" s="999"/>
      <c r="P183" s="609">
        <v>324</v>
      </c>
      <c r="Q183" s="610">
        <v>0.12720000000000001</v>
      </c>
      <c r="R183" s="1005">
        <v>1</v>
      </c>
      <c r="S183" s="425"/>
      <c r="T183" s="425"/>
    </row>
    <row r="184" spans="2:20" ht="31.5" customHeight="1" thickBot="1" x14ac:dyDescent="0.3">
      <c r="B184" s="932"/>
      <c r="C184" s="933"/>
      <c r="D184" s="939"/>
      <c r="E184" s="940"/>
      <c r="F184" s="940"/>
      <c r="G184" s="990"/>
      <c r="H184" s="992"/>
      <c r="I184" s="992"/>
      <c r="J184" s="990"/>
      <c r="K184" s="990"/>
      <c r="L184" s="1000" t="s">
        <v>321</v>
      </c>
      <c r="M184" s="1000"/>
      <c r="N184" s="1000" t="s">
        <v>265</v>
      </c>
      <c r="O184" s="1000"/>
      <c r="P184" s="611">
        <v>18</v>
      </c>
      <c r="Q184" s="612">
        <v>7.1000000000000004E-3</v>
      </c>
      <c r="R184" s="1007"/>
      <c r="S184" s="425"/>
      <c r="T184" s="425"/>
    </row>
    <row r="185" spans="2:20" ht="31.5" customHeight="1" thickBot="1" x14ac:dyDescent="0.3">
      <c r="B185" s="932">
        <v>37204112</v>
      </c>
      <c r="C185" s="933"/>
      <c r="D185" s="937" t="s">
        <v>322</v>
      </c>
      <c r="E185" s="938"/>
      <c r="F185" s="938"/>
      <c r="G185" s="989" t="s">
        <v>258</v>
      </c>
      <c r="H185" s="991" t="s">
        <v>269</v>
      </c>
      <c r="I185" s="991"/>
      <c r="J185" s="989">
        <v>3</v>
      </c>
      <c r="K185" s="989">
        <v>80</v>
      </c>
      <c r="L185" s="999" t="s">
        <v>323</v>
      </c>
      <c r="M185" s="999"/>
      <c r="N185" s="999" t="s">
        <v>313</v>
      </c>
      <c r="O185" s="999"/>
      <c r="P185" s="999">
        <v>148.5</v>
      </c>
      <c r="Q185" s="1001">
        <v>5.8299999999999998E-2</v>
      </c>
      <c r="R185" s="1005">
        <v>1</v>
      </c>
      <c r="S185" s="425"/>
      <c r="T185" s="425"/>
    </row>
    <row r="186" spans="2:20" ht="31.5" customHeight="1" thickBot="1" x14ac:dyDescent="0.3">
      <c r="B186" s="932"/>
      <c r="C186" s="933"/>
      <c r="D186" s="939"/>
      <c r="E186" s="940"/>
      <c r="F186" s="940"/>
      <c r="G186" s="990"/>
      <c r="H186" s="992"/>
      <c r="I186" s="992"/>
      <c r="J186" s="990"/>
      <c r="K186" s="990"/>
      <c r="L186" s="1000"/>
      <c r="M186" s="1000"/>
      <c r="N186" s="1000"/>
      <c r="O186" s="1000"/>
      <c r="P186" s="1000"/>
      <c r="Q186" s="1002"/>
      <c r="R186" s="1007"/>
      <c r="S186" s="425"/>
      <c r="T186" s="425"/>
    </row>
    <row r="187" spans="2:20" ht="31.5" customHeight="1" thickBot="1" x14ac:dyDescent="0.3">
      <c r="B187" s="993">
        <v>37204122</v>
      </c>
      <c r="C187" s="994"/>
      <c r="D187" s="1016" t="s">
        <v>324</v>
      </c>
      <c r="E187" s="1017"/>
      <c r="F187" s="1017"/>
      <c r="G187" s="615" t="s">
        <v>258</v>
      </c>
      <c r="H187" s="1018" t="s">
        <v>269</v>
      </c>
      <c r="I187" s="1018"/>
      <c r="J187" s="615">
        <v>6</v>
      </c>
      <c r="K187" s="615">
        <v>69</v>
      </c>
      <c r="L187" s="931" t="s">
        <v>964</v>
      </c>
      <c r="M187" s="931"/>
      <c r="N187" s="931" t="s">
        <v>267</v>
      </c>
      <c r="O187" s="931"/>
      <c r="P187" s="616">
        <v>180</v>
      </c>
      <c r="Q187" s="617">
        <v>7.0699999999999999E-2</v>
      </c>
      <c r="R187" s="618">
        <v>2</v>
      </c>
      <c r="S187" s="425"/>
      <c r="T187" s="425"/>
    </row>
    <row r="188" spans="2:20" ht="31.5" customHeight="1" thickBot="1" x14ac:dyDescent="0.3">
      <c r="B188" s="993">
        <v>37204123</v>
      </c>
      <c r="C188" s="994"/>
      <c r="D188" s="1016" t="s">
        <v>325</v>
      </c>
      <c r="E188" s="1017"/>
      <c r="F188" s="1017"/>
      <c r="G188" s="615" t="s">
        <v>258</v>
      </c>
      <c r="H188" s="1018" t="s">
        <v>269</v>
      </c>
      <c r="I188" s="1018"/>
      <c r="J188" s="615">
        <v>6</v>
      </c>
      <c r="K188" s="615">
        <v>71</v>
      </c>
      <c r="L188" s="931" t="s">
        <v>964</v>
      </c>
      <c r="M188" s="931"/>
      <c r="N188" s="931" t="s">
        <v>267</v>
      </c>
      <c r="O188" s="931"/>
      <c r="P188" s="616">
        <v>180</v>
      </c>
      <c r="Q188" s="617">
        <v>7.0699999999999999E-2</v>
      </c>
      <c r="R188" s="618">
        <v>2</v>
      </c>
      <c r="S188" s="425"/>
      <c r="T188" s="425"/>
    </row>
    <row r="189" spans="2:20" ht="22.5" customHeight="1" thickBot="1" x14ac:dyDescent="0.3">
      <c r="B189" s="993">
        <v>37204132</v>
      </c>
      <c r="C189" s="994"/>
      <c r="D189" s="1016" t="s">
        <v>326</v>
      </c>
      <c r="E189" s="1017"/>
      <c r="F189" s="1017"/>
      <c r="G189" s="615" t="s">
        <v>258</v>
      </c>
      <c r="H189" s="1018" t="s">
        <v>269</v>
      </c>
      <c r="I189" s="1018"/>
      <c r="J189" s="615">
        <v>3</v>
      </c>
      <c r="K189" s="615">
        <v>78</v>
      </c>
      <c r="L189" s="931" t="s">
        <v>327</v>
      </c>
      <c r="M189" s="931"/>
      <c r="N189" s="931" t="s">
        <v>265</v>
      </c>
      <c r="O189" s="931"/>
      <c r="P189" s="616">
        <v>121.5</v>
      </c>
      <c r="Q189" s="617">
        <v>4.7699999999999999E-2</v>
      </c>
      <c r="R189" s="618">
        <v>2</v>
      </c>
      <c r="S189" s="425"/>
      <c r="T189" s="425"/>
    </row>
    <row r="190" spans="2:20" ht="31.5" customHeight="1" thickBot="1" x14ac:dyDescent="0.3">
      <c r="B190" s="993">
        <v>37204008</v>
      </c>
      <c r="C190" s="994"/>
      <c r="D190" s="1016" t="s">
        <v>328</v>
      </c>
      <c r="E190" s="1017"/>
      <c r="F190" s="1017"/>
      <c r="G190" s="615" t="s">
        <v>263</v>
      </c>
      <c r="H190" s="1018" t="s">
        <v>259</v>
      </c>
      <c r="I190" s="1018"/>
      <c r="J190" s="615">
        <v>6</v>
      </c>
      <c r="K190" s="615">
        <v>57</v>
      </c>
      <c r="L190" s="931" t="s">
        <v>329</v>
      </c>
      <c r="M190" s="931"/>
      <c r="N190" s="931" t="s">
        <v>262</v>
      </c>
      <c r="O190" s="931"/>
      <c r="P190" s="616">
        <v>90</v>
      </c>
      <c r="Q190" s="617">
        <v>3.5299999999999998E-2</v>
      </c>
      <c r="R190" s="618">
        <v>1</v>
      </c>
      <c r="S190" s="425"/>
      <c r="T190" s="425"/>
    </row>
    <row r="191" spans="2:20" ht="19.5" customHeight="1" thickBot="1" x14ac:dyDescent="0.3">
      <c r="B191" s="993">
        <v>37204102</v>
      </c>
      <c r="C191" s="994"/>
      <c r="D191" s="1016" t="s">
        <v>330</v>
      </c>
      <c r="E191" s="1017"/>
      <c r="F191" s="1017"/>
      <c r="G191" s="615" t="s">
        <v>263</v>
      </c>
      <c r="H191" s="1018" t="s">
        <v>269</v>
      </c>
      <c r="I191" s="1018"/>
      <c r="J191" s="615">
        <v>6</v>
      </c>
      <c r="K191" s="615">
        <v>99</v>
      </c>
      <c r="L191" s="931" t="s">
        <v>319</v>
      </c>
      <c r="M191" s="931"/>
      <c r="N191" s="931" t="s">
        <v>262</v>
      </c>
      <c r="O191" s="931"/>
      <c r="P191" s="616">
        <v>180</v>
      </c>
      <c r="Q191" s="617">
        <v>7.0699999999999999E-2</v>
      </c>
      <c r="R191" s="618">
        <v>1</v>
      </c>
      <c r="S191" s="425"/>
      <c r="T191" s="425"/>
    </row>
    <row r="192" spans="2:20" ht="31.5" customHeight="1" thickBot="1" x14ac:dyDescent="0.3">
      <c r="B192" s="993">
        <v>37204103</v>
      </c>
      <c r="C192" s="994"/>
      <c r="D192" s="1016" t="s">
        <v>331</v>
      </c>
      <c r="E192" s="1017"/>
      <c r="F192" s="1017"/>
      <c r="G192" s="615" t="s">
        <v>263</v>
      </c>
      <c r="H192" s="1018" t="s">
        <v>269</v>
      </c>
      <c r="I192" s="1018"/>
      <c r="J192" s="615">
        <v>3</v>
      </c>
      <c r="K192" s="615">
        <v>68</v>
      </c>
      <c r="L192" s="931" t="s">
        <v>264</v>
      </c>
      <c r="M192" s="931"/>
      <c r="N192" s="931" t="s">
        <v>265</v>
      </c>
      <c r="O192" s="931"/>
      <c r="P192" s="616">
        <v>54</v>
      </c>
      <c r="Q192" s="629">
        <v>2.12E-2</v>
      </c>
      <c r="R192" s="618">
        <v>1</v>
      </c>
      <c r="S192" s="425"/>
      <c r="T192" s="425"/>
    </row>
    <row r="193" spans="2:20" ht="31.5" customHeight="1" thickBot="1" x14ac:dyDescent="0.3">
      <c r="B193" s="993">
        <v>37204009</v>
      </c>
      <c r="C193" s="994"/>
      <c r="D193" s="1016" t="s">
        <v>332</v>
      </c>
      <c r="E193" s="1017"/>
      <c r="F193" s="1017"/>
      <c r="G193" s="615" t="s">
        <v>263</v>
      </c>
      <c r="H193" s="1018" t="s">
        <v>259</v>
      </c>
      <c r="I193" s="1018"/>
      <c r="J193" s="615">
        <v>6</v>
      </c>
      <c r="K193" s="615">
        <v>64</v>
      </c>
      <c r="L193" s="931" t="s">
        <v>1139</v>
      </c>
      <c r="M193" s="931"/>
      <c r="N193" s="931" t="s">
        <v>281</v>
      </c>
      <c r="O193" s="931"/>
      <c r="P193" s="616">
        <v>126</v>
      </c>
      <c r="Q193" s="617">
        <v>4.9500000000000002E-2</v>
      </c>
      <c r="R193" s="618">
        <v>2</v>
      </c>
      <c r="S193" s="425"/>
      <c r="T193" s="425"/>
    </row>
    <row r="194" spans="2:20" ht="23.25" customHeight="1" thickBot="1" x14ac:dyDescent="0.3">
      <c r="B194" s="993">
        <v>37204115</v>
      </c>
      <c r="C194" s="994"/>
      <c r="D194" s="1108" t="s">
        <v>333</v>
      </c>
      <c r="E194" s="1109"/>
      <c r="F194" s="1109"/>
      <c r="G194" s="1103" t="s">
        <v>263</v>
      </c>
      <c r="H194" s="1110" t="s">
        <v>269</v>
      </c>
      <c r="I194" s="1110"/>
      <c r="J194" s="1103">
        <v>3</v>
      </c>
      <c r="K194" s="1103">
        <v>60</v>
      </c>
      <c r="L194" s="1023" t="s">
        <v>310</v>
      </c>
      <c r="M194" s="1023"/>
      <c r="N194" s="1023" t="s">
        <v>260</v>
      </c>
      <c r="O194" s="1023"/>
      <c r="P194" s="625">
        <v>324</v>
      </c>
      <c r="Q194" s="626">
        <v>0.12720000000000001</v>
      </c>
      <c r="R194" s="1115">
        <v>1</v>
      </c>
      <c r="S194" s="425"/>
      <c r="T194" s="425"/>
    </row>
    <row r="195" spans="2:20" ht="21.75" customHeight="1" thickBot="1" x14ac:dyDescent="0.3">
      <c r="B195" s="993"/>
      <c r="C195" s="994"/>
      <c r="D195" s="939"/>
      <c r="E195" s="940"/>
      <c r="F195" s="940"/>
      <c r="G195" s="990"/>
      <c r="H195" s="992"/>
      <c r="I195" s="992"/>
      <c r="J195" s="990"/>
      <c r="K195" s="990"/>
      <c r="L195" s="1000" t="s">
        <v>1399</v>
      </c>
      <c r="M195" s="1000"/>
      <c r="N195" s="1000" t="s">
        <v>1400</v>
      </c>
      <c r="O195" s="1000"/>
      <c r="P195" s="611">
        <v>58.5</v>
      </c>
      <c r="Q195" s="612">
        <v>2.3E-2</v>
      </c>
      <c r="R195" s="1007"/>
      <c r="S195" s="425"/>
      <c r="T195" s="425"/>
    </row>
    <row r="196" spans="2:20" ht="36" customHeight="1" thickBot="1" x14ac:dyDescent="0.3">
      <c r="B196" s="993">
        <v>37204007</v>
      </c>
      <c r="C196" s="994"/>
      <c r="D196" s="937" t="s">
        <v>334</v>
      </c>
      <c r="E196" s="938"/>
      <c r="F196" s="938"/>
      <c r="G196" s="989" t="s">
        <v>263</v>
      </c>
      <c r="H196" s="991" t="s">
        <v>259</v>
      </c>
      <c r="I196" s="991"/>
      <c r="J196" s="989">
        <v>6</v>
      </c>
      <c r="K196" s="1037">
        <v>58</v>
      </c>
      <c r="L196" s="999" t="s">
        <v>1401</v>
      </c>
      <c r="M196" s="999"/>
      <c r="N196" s="999" t="s">
        <v>1400</v>
      </c>
      <c r="O196" s="999"/>
      <c r="P196" s="609">
        <v>36</v>
      </c>
      <c r="Q196" s="610">
        <v>1.41E-2</v>
      </c>
      <c r="R196" s="1005">
        <v>1</v>
      </c>
      <c r="S196" s="425"/>
      <c r="T196" s="425"/>
    </row>
    <row r="197" spans="2:20" ht="31.5" customHeight="1" thickBot="1" x14ac:dyDescent="0.3">
      <c r="B197" s="993"/>
      <c r="C197" s="994"/>
      <c r="D197" s="939"/>
      <c r="E197" s="940"/>
      <c r="F197" s="940"/>
      <c r="G197" s="990"/>
      <c r="H197" s="992"/>
      <c r="I197" s="992"/>
      <c r="J197" s="990"/>
      <c r="K197" s="1039"/>
      <c r="L197" s="1000" t="s">
        <v>1402</v>
      </c>
      <c r="M197" s="1000"/>
      <c r="N197" s="1000" t="s">
        <v>265</v>
      </c>
      <c r="O197" s="1000"/>
      <c r="P197" s="611">
        <v>18</v>
      </c>
      <c r="Q197" s="612">
        <v>7.1000000000000004E-3</v>
      </c>
      <c r="R197" s="1007"/>
      <c r="S197" s="425"/>
      <c r="T197" s="425"/>
    </row>
    <row r="198" spans="2:20" ht="28.5" customHeight="1" thickBot="1" x14ac:dyDescent="0.3">
      <c r="B198" s="993">
        <v>37204124</v>
      </c>
      <c r="C198" s="994"/>
      <c r="D198" s="1016" t="s">
        <v>335</v>
      </c>
      <c r="E198" s="1017"/>
      <c r="F198" s="1017"/>
      <c r="G198" s="615" t="s">
        <v>263</v>
      </c>
      <c r="H198" s="1018" t="s">
        <v>269</v>
      </c>
      <c r="I198" s="1018"/>
      <c r="J198" s="615">
        <v>6</v>
      </c>
      <c r="K198" s="615">
        <v>61</v>
      </c>
      <c r="L198" s="931" t="s">
        <v>336</v>
      </c>
      <c r="M198" s="931"/>
      <c r="N198" s="931" t="s">
        <v>265</v>
      </c>
      <c r="O198" s="931"/>
      <c r="P198" s="616">
        <v>54</v>
      </c>
      <c r="Q198" s="629">
        <v>2.12E-2</v>
      </c>
      <c r="R198" s="618">
        <v>1</v>
      </c>
      <c r="S198" s="425"/>
      <c r="T198" s="425"/>
    </row>
    <row r="199" spans="2:20" ht="30" customHeight="1" thickBot="1" x14ac:dyDescent="0.3">
      <c r="B199" s="993">
        <v>37204101</v>
      </c>
      <c r="C199" s="994"/>
      <c r="D199" s="1016" t="s">
        <v>337</v>
      </c>
      <c r="E199" s="1017"/>
      <c r="F199" s="1017"/>
      <c r="G199" s="615" t="s">
        <v>263</v>
      </c>
      <c r="H199" s="1018" t="s">
        <v>269</v>
      </c>
      <c r="I199" s="1018"/>
      <c r="J199" s="615">
        <v>6</v>
      </c>
      <c r="K199" s="615">
        <v>62</v>
      </c>
      <c r="L199" s="931" t="s">
        <v>327</v>
      </c>
      <c r="M199" s="931"/>
      <c r="N199" s="931" t="s">
        <v>265</v>
      </c>
      <c r="O199" s="931"/>
      <c r="P199" s="616">
        <v>121.5</v>
      </c>
      <c r="Q199" s="617">
        <v>4.7699999999999999E-2</v>
      </c>
      <c r="R199" s="618">
        <v>2</v>
      </c>
      <c r="S199" s="425"/>
      <c r="T199" s="425"/>
    </row>
    <row r="200" spans="2:20" ht="31.5" customHeight="1" thickBot="1" x14ac:dyDescent="0.3">
      <c r="B200" s="993">
        <v>37204119</v>
      </c>
      <c r="C200" s="994"/>
      <c r="D200" s="937" t="s">
        <v>338</v>
      </c>
      <c r="E200" s="938"/>
      <c r="F200" s="938"/>
      <c r="G200" s="989" t="s">
        <v>263</v>
      </c>
      <c r="H200" s="991" t="s">
        <v>269</v>
      </c>
      <c r="I200" s="991"/>
      <c r="J200" s="989">
        <v>5</v>
      </c>
      <c r="K200" s="989">
        <v>72</v>
      </c>
      <c r="L200" s="999" t="s">
        <v>340</v>
      </c>
      <c r="M200" s="999"/>
      <c r="N200" s="999" t="s">
        <v>267</v>
      </c>
      <c r="O200" s="999"/>
      <c r="P200" s="609">
        <v>241</v>
      </c>
      <c r="Q200" s="610">
        <v>9.4700000000000006E-2</v>
      </c>
      <c r="R200" s="1005">
        <v>2</v>
      </c>
      <c r="S200" s="425"/>
      <c r="T200" s="425"/>
    </row>
    <row r="201" spans="2:20" ht="31.5" customHeight="1" thickBot="1" x14ac:dyDescent="0.3">
      <c r="B201" s="993"/>
      <c r="C201" s="994"/>
      <c r="D201" s="1008"/>
      <c r="E201" s="1009"/>
      <c r="F201" s="1009"/>
      <c r="G201" s="1004"/>
      <c r="H201" s="1003"/>
      <c r="I201" s="1003"/>
      <c r="J201" s="1004"/>
      <c r="K201" s="1004"/>
      <c r="L201" s="1020" t="s">
        <v>323</v>
      </c>
      <c r="M201" s="1020"/>
      <c r="N201" s="1020" t="s">
        <v>313</v>
      </c>
      <c r="O201" s="1020"/>
      <c r="P201" s="607">
        <v>148.5</v>
      </c>
      <c r="Q201" s="608">
        <v>5.8299999999999998E-2</v>
      </c>
      <c r="R201" s="1006"/>
      <c r="S201" s="425"/>
      <c r="T201" s="425"/>
    </row>
    <row r="202" spans="2:20" ht="35.25" customHeight="1" thickBot="1" x14ac:dyDescent="0.3">
      <c r="B202" s="993"/>
      <c r="C202" s="994"/>
      <c r="D202" s="939"/>
      <c r="E202" s="940"/>
      <c r="F202" s="940"/>
      <c r="G202" s="990"/>
      <c r="H202" s="992"/>
      <c r="I202" s="992"/>
      <c r="J202" s="990"/>
      <c r="K202" s="990"/>
      <c r="L202" s="1000" t="s">
        <v>312</v>
      </c>
      <c r="M202" s="1000"/>
      <c r="N202" s="1000" t="s">
        <v>313</v>
      </c>
      <c r="O202" s="1000"/>
      <c r="P202" s="611">
        <v>63</v>
      </c>
      <c r="Q202" s="612">
        <v>2.47E-2</v>
      </c>
      <c r="R202" s="1007">
        <v>1</v>
      </c>
      <c r="S202" s="425"/>
      <c r="T202" s="425"/>
    </row>
    <row r="203" spans="2:20" ht="31.5" customHeight="1" thickBot="1" x14ac:dyDescent="0.3">
      <c r="B203" s="993">
        <v>37204133</v>
      </c>
      <c r="C203" s="994"/>
      <c r="D203" s="1016" t="s">
        <v>339</v>
      </c>
      <c r="E203" s="1017"/>
      <c r="F203" s="1017"/>
      <c r="G203" s="615" t="s">
        <v>263</v>
      </c>
      <c r="H203" s="1018" t="s">
        <v>269</v>
      </c>
      <c r="I203" s="1018"/>
      <c r="J203" s="615">
        <v>4</v>
      </c>
      <c r="K203" s="615">
        <v>63</v>
      </c>
      <c r="L203" s="931" t="s">
        <v>340</v>
      </c>
      <c r="M203" s="931"/>
      <c r="N203" s="931" t="s">
        <v>267</v>
      </c>
      <c r="O203" s="931"/>
      <c r="P203" s="616">
        <v>241</v>
      </c>
      <c r="Q203" s="617">
        <v>9.4700000000000006E-2</v>
      </c>
      <c r="R203" s="618">
        <v>2</v>
      </c>
      <c r="S203" s="425"/>
      <c r="T203" s="425"/>
    </row>
    <row r="204" spans="2:20" ht="31.5" customHeight="1" thickBot="1" x14ac:dyDescent="0.3">
      <c r="B204" s="993">
        <v>37204108</v>
      </c>
      <c r="C204" s="994"/>
      <c r="D204" s="1016" t="s">
        <v>341</v>
      </c>
      <c r="E204" s="1017"/>
      <c r="F204" s="1017"/>
      <c r="G204" s="615" t="s">
        <v>263</v>
      </c>
      <c r="H204" s="1018" t="s">
        <v>269</v>
      </c>
      <c r="I204" s="1018"/>
      <c r="J204" s="615">
        <v>3</v>
      </c>
      <c r="K204" s="615">
        <v>63</v>
      </c>
      <c r="L204" s="931" t="s">
        <v>342</v>
      </c>
      <c r="M204" s="931"/>
      <c r="N204" s="931" t="s">
        <v>265</v>
      </c>
      <c r="O204" s="931"/>
      <c r="P204" s="616">
        <v>67.5</v>
      </c>
      <c r="Q204" s="617">
        <v>2.6499999999999999E-2</v>
      </c>
      <c r="R204" s="618">
        <v>1</v>
      </c>
      <c r="S204" s="425"/>
      <c r="T204" s="425"/>
    </row>
    <row r="205" spans="2:20" ht="31.5" customHeight="1" thickBot="1" x14ac:dyDescent="0.3">
      <c r="B205" s="993">
        <v>37204125</v>
      </c>
      <c r="C205" s="994"/>
      <c r="D205" s="937" t="s">
        <v>343</v>
      </c>
      <c r="E205" s="938"/>
      <c r="F205" s="938"/>
      <c r="G205" s="989" t="s">
        <v>263</v>
      </c>
      <c r="H205" s="991" t="s">
        <v>269</v>
      </c>
      <c r="I205" s="991"/>
      <c r="J205" s="989">
        <v>6</v>
      </c>
      <c r="K205" s="1037">
        <v>49</v>
      </c>
      <c r="L205" s="999" t="s">
        <v>310</v>
      </c>
      <c r="M205" s="999"/>
      <c r="N205" s="999" t="s">
        <v>260</v>
      </c>
      <c r="O205" s="999"/>
      <c r="P205" s="609">
        <v>324</v>
      </c>
      <c r="Q205" s="610">
        <v>0.12720000000000001</v>
      </c>
      <c r="R205" s="1117">
        <v>1</v>
      </c>
      <c r="S205" s="425"/>
      <c r="T205" s="425"/>
    </row>
    <row r="206" spans="2:20" ht="43.5" customHeight="1" thickBot="1" x14ac:dyDescent="0.3">
      <c r="B206" s="993"/>
      <c r="C206" s="994"/>
      <c r="D206" s="939"/>
      <c r="E206" s="940"/>
      <c r="F206" s="940"/>
      <c r="G206" s="990"/>
      <c r="H206" s="992"/>
      <c r="I206" s="992"/>
      <c r="J206" s="990"/>
      <c r="K206" s="1039"/>
      <c r="L206" s="1000" t="s">
        <v>323</v>
      </c>
      <c r="M206" s="1000"/>
      <c r="N206" s="1000" t="s">
        <v>313</v>
      </c>
      <c r="O206" s="1000"/>
      <c r="P206" s="611">
        <v>148.5</v>
      </c>
      <c r="Q206" s="612">
        <v>5.8299999999999998E-2</v>
      </c>
      <c r="R206" s="1119"/>
      <c r="S206" s="425"/>
      <c r="T206" s="425"/>
    </row>
    <row r="207" spans="2:20" ht="42.75" customHeight="1" thickBot="1" x14ac:dyDescent="0.3">
      <c r="B207" s="993">
        <v>37204111</v>
      </c>
      <c r="C207" s="994"/>
      <c r="D207" s="1016" t="s">
        <v>344</v>
      </c>
      <c r="E207" s="1017"/>
      <c r="F207" s="1017"/>
      <c r="G207" s="615" t="s">
        <v>272</v>
      </c>
      <c r="H207" s="1018" t="s">
        <v>269</v>
      </c>
      <c r="I207" s="1018"/>
      <c r="J207" s="615">
        <v>3</v>
      </c>
      <c r="K207" s="615">
        <v>61</v>
      </c>
      <c r="L207" s="931" t="s">
        <v>345</v>
      </c>
      <c r="M207" s="931"/>
      <c r="N207" s="931" t="s">
        <v>265</v>
      </c>
      <c r="O207" s="931"/>
      <c r="P207" s="616">
        <v>27</v>
      </c>
      <c r="Q207" s="617">
        <v>1.06E-2</v>
      </c>
      <c r="R207" s="618">
        <v>1</v>
      </c>
      <c r="S207" s="425"/>
      <c r="T207" s="425"/>
    </row>
    <row r="208" spans="2:20" ht="31.5" customHeight="1" thickBot="1" x14ac:dyDescent="0.3">
      <c r="B208" s="993">
        <v>37204105</v>
      </c>
      <c r="C208" s="994"/>
      <c r="D208" s="1016" t="s">
        <v>956</v>
      </c>
      <c r="E208" s="1017"/>
      <c r="F208" s="1017"/>
      <c r="G208" s="615" t="s">
        <v>272</v>
      </c>
      <c r="H208" s="1018" t="s">
        <v>269</v>
      </c>
      <c r="I208" s="1018"/>
      <c r="J208" s="615">
        <v>3</v>
      </c>
      <c r="K208" s="615">
        <v>59</v>
      </c>
      <c r="L208" s="931" t="s">
        <v>323</v>
      </c>
      <c r="M208" s="931"/>
      <c r="N208" s="931" t="s">
        <v>313</v>
      </c>
      <c r="O208" s="931"/>
      <c r="P208" s="616">
        <v>148.5</v>
      </c>
      <c r="Q208" s="617">
        <v>5.8299999999999998E-2</v>
      </c>
      <c r="R208" s="618">
        <v>1</v>
      </c>
      <c r="S208" s="425"/>
      <c r="T208" s="425"/>
    </row>
    <row r="209" spans="2:24" ht="31.5" customHeight="1" thickBot="1" x14ac:dyDescent="0.3">
      <c r="B209" s="932">
        <v>37204137</v>
      </c>
      <c r="C209" s="933"/>
      <c r="D209" s="1016" t="s">
        <v>346</v>
      </c>
      <c r="E209" s="1017"/>
      <c r="F209" s="1017"/>
      <c r="G209" s="615" t="s">
        <v>272</v>
      </c>
      <c r="H209" s="1018" t="s">
        <v>269</v>
      </c>
      <c r="I209" s="1018"/>
      <c r="J209" s="615">
        <v>3</v>
      </c>
      <c r="K209" s="615">
        <v>62</v>
      </c>
      <c r="L209" s="931" t="s">
        <v>1399</v>
      </c>
      <c r="M209" s="931"/>
      <c r="N209" s="931" t="s">
        <v>1400</v>
      </c>
      <c r="O209" s="931"/>
      <c r="P209" s="616">
        <v>58.5</v>
      </c>
      <c r="Q209" s="617">
        <v>2.3E-2</v>
      </c>
      <c r="R209" s="618">
        <v>1</v>
      </c>
      <c r="S209" s="425"/>
      <c r="T209" s="425"/>
    </row>
    <row r="210" spans="2:24" ht="45.75" customHeight="1" thickBot="1" x14ac:dyDescent="0.3">
      <c r="B210" s="932">
        <v>37204121</v>
      </c>
      <c r="C210" s="933"/>
      <c r="D210" s="937" t="s">
        <v>347</v>
      </c>
      <c r="E210" s="938"/>
      <c r="F210" s="938"/>
      <c r="G210" s="989" t="s">
        <v>272</v>
      </c>
      <c r="H210" s="991" t="s">
        <v>269</v>
      </c>
      <c r="I210" s="991"/>
      <c r="J210" s="989">
        <v>6</v>
      </c>
      <c r="K210" s="989">
        <v>64</v>
      </c>
      <c r="L210" s="999" t="s">
        <v>348</v>
      </c>
      <c r="M210" s="999"/>
      <c r="N210" s="999" t="s">
        <v>265</v>
      </c>
      <c r="O210" s="999"/>
      <c r="P210" s="999">
        <v>72</v>
      </c>
      <c r="Q210" s="1001">
        <v>2.8299999999999999E-2</v>
      </c>
      <c r="R210" s="1005">
        <v>2</v>
      </c>
      <c r="S210" s="425"/>
      <c r="T210" s="425"/>
    </row>
    <row r="211" spans="2:24" ht="45.75" customHeight="1" thickBot="1" x14ac:dyDescent="0.3">
      <c r="B211" s="932"/>
      <c r="C211" s="933"/>
      <c r="D211" s="939"/>
      <c r="E211" s="940"/>
      <c r="F211" s="940"/>
      <c r="G211" s="990"/>
      <c r="H211" s="992"/>
      <c r="I211" s="992"/>
      <c r="J211" s="990"/>
      <c r="K211" s="990"/>
      <c r="L211" s="1000"/>
      <c r="M211" s="1000"/>
      <c r="N211" s="1000"/>
      <c r="O211" s="1000"/>
      <c r="P211" s="1000"/>
      <c r="Q211" s="1002"/>
      <c r="R211" s="1007"/>
      <c r="S211" s="425"/>
      <c r="T211" s="425"/>
      <c r="X211" s="466"/>
    </row>
    <row r="212" spans="2:24" ht="45.75" customHeight="1" thickBot="1" x14ac:dyDescent="0.3">
      <c r="B212" s="993">
        <v>37204106</v>
      </c>
      <c r="C212" s="994"/>
      <c r="D212" s="1016" t="s">
        <v>349</v>
      </c>
      <c r="E212" s="1017"/>
      <c r="F212" s="1017"/>
      <c r="G212" s="615" t="s">
        <v>272</v>
      </c>
      <c r="H212" s="1018" t="s">
        <v>269</v>
      </c>
      <c r="I212" s="1018"/>
      <c r="J212" s="615">
        <v>3</v>
      </c>
      <c r="K212" s="615">
        <v>72</v>
      </c>
      <c r="L212" s="931" t="s">
        <v>319</v>
      </c>
      <c r="M212" s="931"/>
      <c r="N212" s="931" t="s">
        <v>262</v>
      </c>
      <c r="O212" s="931"/>
      <c r="P212" s="616">
        <v>180</v>
      </c>
      <c r="Q212" s="617">
        <v>7.0699999999999999E-2</v>
      </c>
      <c r="R212" s="618">
        <v>1</v>
      </c>
      <c r="S212" s="425"/>
      <c r="T212" s="425"/>
    </row>
    <row r="213" spans="2:24" ht="41.25" customHeight="1" thickBot="1" x14ac:dyDescent="0.3">
      <c r="B213" s="993">
        <v>37204104</v>
      </c>
      <c r="C213" s="994"/>
      <c r="D213" s="1035" t="s">
        <v>350</v>
      </c>
      <c r="E213" s="1036"/>
      <c r="F213" s="1036"/>
      <c r="G213" s="630" t="s">
        <v>272</v>
      </c>
      <c r="H213" s="1094" t="s">
        <v>269</v>
      </c>
      <c r="I213" s="1094"/>
      <c r="J213" s="630">
        <v>5</v>
      </c>
      <c r="K213" s="630">
        <v>69</v>
      </c>
      <c r="L213" s="1116" t="s">
        <v>351</v>
      </c>
      <c r="M213" s="1116"/>
      <c r="N213" s="1116" t="s">
        <v>281</v>
      </c>
      <c r="O213" s="1116"/>
      <c r="P213" s="631">
        <v>54</v>
      </c>
      <c r="Q213" s="637">
        <v>2.12E-2</v>
      </c>
      <c r="R213" s="635">
        <v>2</v>
      </c>
      <c r="S213" s="425"/>
      <c r="T213" s="425"/>
    </row>
    <row r="214" spans="2:24" ht="41.25" customHeight="1" thickBot="1" x14ac:dyDescent="0.3">
      <c r="B214" s="993">
        <v>37204109</v>
      </c>
      <c r="C214" s="994"/>
      <c r="D214" s="1061" t="s">
        <v>352</v>
      </c>
      <c r="E214" s="1062"/>
      <c r="F214" s="1063"/>
      <c r="G214" s="1037" t="s">
        <v>272</v>
      </c>
      <c r="H214" s="1040" t="s">
        <v>269</v>
      </c>
      <c r="I214" s="1041"/>
      <c r="J214" s="1037">
        <v>6</v>
      </c>
      <c r="K214" s="1037">
        <v>62</v>
      </c>
      <c r="L214" s="1120" t="s">
        <v>327</v>
      </c>
      <c r="M214" s="1121"/>
      <c r="N214" s="1120" t="s">
        <v>265</v>
      </c>
      <c r="O214" s="1121"/>
      <c r="P214" s="1022">
        <v>121.5</v>
      </c>
      <c r="Q214" s="1124">
        <v>4.7699999999999999E-2</v>
      </c>
      <c r="R214" s="1117">
        <v>2</v>
      </c>
      <c r="S214" s="425"/>
      <c r="T214" s="425"/>
    </row>
    <row r="215" spans="2:24" ht="21" customHeight="1" thickBot="1" x14ac:dyDescent="0.3">
      <c r="B215" s="993"/>
      <c r="C215" s="994"/>
      <c r="D215" s="1064"/>
      <c r="E215" s="1065"/>
      <c r="F215" s="1066"/>
      <c r="G215" s="1038"/>
      <c r="H215" s="1042"/>
      <c r="I215" s="1043"/>
      <c r="J215" s="1038"/>
      <c r="K215" s="1038"/>
      <c r="L215" s="1122"/>
      <c r="M215" s="1123"/>
      <c r="N215" s="1122"/>
      <c r="O215" s="1123"/>
      <c r="P215" s="1023"/>
      <c r="Q215" s="1125"/>
      <c r="R215" s="1118"/>
      <c r="S215" s="425"/>
      <c r="T215" s="425"/>
    </row>
    <row r="216" spans="2:24" ht="21" customHeight="1" thickBot="1" x14ac:dyDescent="0.3">
      <c r="B216" s="993"/>
      <c r="C216" s="994"/>
      <c r="D216" s="1064"/>
      <c r="E216" s="1065"/>
      <c r="F216" s="1066"/>
      <c r="G216" s="1038"/>
      <c r="H216" s="1042"/>
      <c r="I216" s="1043"/>
      <c r="J216" s="1038"/>
      <c r="K216" s="1038"/>
      <c r="L216" s="1024" t="s">
        <v>342</v>
      </c>
      <c r="M216" s="1025"/>
      <c r="N216" s="1024" t="s">
        <v>265</v>
      </c>
      <c r="O216" s="1025"/>
      <c r="P216" s="607">
        <v>67.5</v>
      </c>
      <c r="Q216" s="608">
        <v>2.6499999999999999E-2</v>
      </c>
      <c r="R216" s="1118"/>
      <c r="S216" s="425"/>
      <c r="T216" s="425"/>
    </row>
    <row r="217" spans="2:24" ht="27" customHeight="1" thickBot="1" x14ac:dyDescent="0.3">
      <c r="B217" s="993"/>
      <c r="C217" s="994"/>
      <c r="D217" s="1064"/>
      <c r="E217" s="1065"/>
      <c r="F217" s="1066"/>
      <c r="G217" s="1038"/>
      <c r="H217" s="1042"/>
      <c r="I217" s="1043"/>
      <c r="J217" s="1038"/>
      <c r="K217" s="1038"/>
      <c r="L217" s="1024" t="s">
        <v>323</v>
      </c>
      <c r="M217" s="1025"/>
      <c r="N217" s="1024" t="s">
        <v>313</v>
      </c>
      <c r="O217" s="1025"/>
      <c r="P217" s="607">
        <v>148.5</v>
      </c>
      <c r="Q217" s="608">
        <v>5.8299999999999998E-2</v>
      </c>
      <c r="R217" s="1118"/>
      <c r="S217" s="425"/>
      <c r="T217" s="425"/>
    </row>
    <row r="218" spans="2:24" ht="24.6" customHeight="1" thickBot="1" x14ac:dyDescent="0.3">
      <c r="B218" s="993"/>
      <c r="C218" s="994"/>
      <c r="D218" s="1067"/>
      <c r="E218" s="1068"/>
      <c r="F218" s="1069"/>
      <c r="G218" s="1039"/>
      <c r="H218" s="1044"/>
      <c r="I218" s="1045"/>
      <c r="J218" s="1039"/>
      <c r="K218" s="1039"/>
      <c r="L218" s="1090" t="s">
        <v>950</v>
      </c>
      <c r="M218" s="1091"/>
      <c r="N218" s="1090" t="s">
        <v>266</v>
      </c>
      <c r="O218" s="1091"/>
      <c r="P218" s="633">
        <v>144</v>
      </c>
      <c r="Q218" s="636">
        <v>5.6500000000000002E-2</v>
      </c>
      <c r="R218" s="1119"/>
      <c r="S218" s="425"/>
      <c r="T218" s="425"/>
    </row>
    <row r="219" spans="2:24" ht="23.45" customHeight="1" thickBot="1" x14ac:dyDescent="0.3">
      <c r="B219" s="993">
        <v>37204134</v>
      </c>
      <c r="C219" s="994"/>
      <c r="D219" s="1061" t="s">
        <v>352</v>
      </c>
      <c r="E219" s="1062"/>
      <c r="F219" s="1063"/>
      <c r="G219" s="1037" t="s">
        <v>272</v>
      </c>
      <c r="H219" s="1040" t="s">
        <v>269</v>
      </c>
      <c r="I219" s="1041"/>
      <c r="J219" s="1037">
        <v>8</v>
      </c>
      <c r="K219" s="1037">
        <v>1</v>
      </c>
      <c r="L219" s="1120" t="s">
        <v>327</v>
      </c>
      <c r="M219" s="1121"/>
      <c r="N219" s="1120" t="s">
        <v>265</v>
      </c>
      <c r="O219" s="1121"/>
      <c r="P219" s="1022">
        <v>121.5</v>
      </c>
      <c r="Q219" s="1124">
        <v>4.7699999999999999E-2</v>
      </c>
      <c r="R219" s="1117">
        <v>2</v>
      </c>
      <c r="S219" s="425"/>
      <c r="T219" s="425"/>
    </row>
    <row r="220" spans="2:24" ht="23.45" customHeight="1" thickBot="1" x14ac:dyDescent="0.3">
      <c r="B220" s="993"/>
      <c r="C220" s="994"/>
      <c r="D220" s="1064"/>
      <c r="E220" s="1065"/>
      <c r="F220" s="1066"/>
      <c r="G220" s="1038"/>
      <c r="H220" s="1042"/>
      <c r="I220" s="1043"/>
      <c r="J220" s="1038"/>
      <c r="K220" s="1038"/>
      <c r="L220" s="1122"/>
      <c r="M220" s="1123"/>
      <c r="N220" s="1122"/>
      <c r="O220" s="1123"/>
      <c r="P220" s="1023"/>
      <c r="Q220" s="1125"/>
      <c r="R220" s="1118"/>
      <c r="S220" s="425"/>
      <c r="T220" s="425"/>
    </row>
    <row r="221" spans="2:24" ht="23.45" customHeight="1" thickBot="1" x14ac:dyDescent="0.3">
      <c r="B221" s="993"/>
      <c r="C221" s="994"/>
      <c r="D221" s="1064"/>
      <c r="E221" s="1065"/>
      <c r="F221" s="1066"/>
      <c r="G221" s="1038"/>
      <c r="H221" s="1042"/>
      <c r="I221" s="1043"/>
      <c r="J221" s="1038"/>
      <c r="K221" s="1038"/>
      <c r="L221" s="1024" t="s">
        <v>342</v>
      </c>
      <c r="M221" s="1025"/>
      <c r="N221" s="1024" t="s">
        <v>265</v>
      </c>
      <c r="O221" s="1025"/>
      <c r="P221" s="607">
        <v>67.5</v>
      </c>
      <c r="Q221" s="608">
        <v>2.6499999999999999E-2</v>
      </c>
      <c r="R221" s="1118"/>
      <c r="S221" s="425"/>
      <c r="T221" s="425"/>
    </row>
    <row r="222" spans="2:24" ht="25.5" customHeight="1" thickBot="1" x14ac:dyDescent="0.3">
      <c r="B222" s="993"/>
      <c r="C222" s="994"/>
      <c r="D222" s="1064"/>
      <c r="E222" s="1065"/>
      <c r="F222" s="1066"/>
      <c r="G222" s="1038"/>
      <c r="H222" s="1042"/>
      <c r="I222" s="1043"/>
      <c r="J222" s="1038"/>
      <c r="K222" s="1038"/>
      <c r="L222" s="1024" t="s">
        <v>323</v>
      </c>
      <c r="M222" s="1025"/>
      <c r="N222" s="1024" t="s">
        <v>313</v>
      </c>
      <c r="O222" s="1025"/>
      <c r="P222" s="607">
        <v>148.5</v>
      </c>
      <c r="Q222" s="608">
        <v>5.8299999999999998E-2</v>
      </c>
      <c r="R222" s="1118"/>
      <c r="S222" s="425"/>
      <c r="T222" s="425"/>
    </row>
    <row r="223" spans="2:24" ht="31.5" customHeight="1" thickBot="1" x14ac:dyDescent="0.3">
      <c r="B223" s="993"/>
      <c r="C223" s="994"/>
      <c r="D223" s="1067"/>
      <c r="E223" s="1068"/>
      <c r="F223" s="1069"/>
      <c r="G223" s="1039"/>
      <c r="H223" s="1044"/>
      <c r="I223" s="1045"/>
      <c r="J223" s="1039"/>
      <c r="K223" s="1039"/>
      <c r="L223" s="1090" t="s">
        <v>950</v>
      </c>
      <c r="M223" s="1091"/>
      <c r="N223" s="1090" t="s">
        <v>266</v>
      </c>
      <c r="O223" s="1091"/>
      <c r="P223" s="633">
        <v>144</v>
      </c>
      <c r="Q223" s="636">
        <v>5.6500000000000002E-2</v>
      </c>
      <c r="R223" s="1119"/>
      <c r="S223" s="425"/>
      <c r="T223" s="425"/>
    </row>
    <row r="224" spans="2:24" ht="31.5" customHeight="1" thickBot="1" x14ac:dyDescent="0.3">
      <c r="B224" s="993">
        <v>37204135</v>
      </c>
      <c r="C224" s="994"/>
      <c r="D224" s="1035" t="s">
        <v>353</v>
      </c>
      <c r="E224" s="1036"/>
      <c r="F224" s="1036"/>
      <c r="G224" s="630" t="s">
        <v>272</v>
      </c>
      <c r="H224" s="1094" t="s">
        <v>269</v>
      </c>
      <c r="I224" s="1094"/>
      <c r="J224" s="630">
        <v>8</v>
      </c>
      <c r="K224" s="630">
        <v>58</v>
      </c>
      <c r="L224" s="1116" t="s">
        <v>340</v>
      </c>
      <c r="M224" s="1116"/>
      <c r="N224" s="1116" t="s">
        <v>267</v>
      </c>
      <c r="O224" s="1116"/>
      <c r="P224" s="631">
        <v>241</v>
      </c>
      <c r="Q224" s="632">
        <v>9.4700000000000006E-2</v>
      </c>
      <c r="R224" s="635">
        <v>2</v>
      </c>
      <c r="S224" s="425"/>
      <c r="T224" s="425"/>
    </row>
    <row r="225" spans="1:28" ht="21" customHeight="1" thickBot="1" x14ac:dyDescent="0.3">
      <c r="B225" s="932">
        <v>37204107</v>
      </c>
      <c r="C225" s="933"/>
      <c r="D225" s="937" t="s">
        <v>354</v>
      </c>
      <c r="E225" s="938"/>
      <c r="F225" s="938"/>
      <c r="G225" s="989" t="s">
        <v>272</v>
      </c>
      <c r="H225" s="991" t="s">
        <v>269</v>
      </c>
      <c r="I225" s="991"/>
      <c r="J225" s="989">
        <v>7</v>
      </c>
      <c r="K225" s="989">
        <v>68</v>
      </c>
      <c r="L225" s="999" t="s">
        <v>329</v>
      </c>
      <c r="M225" s="999"/>
      <c r="N225" s="999" t="s">
        <v>262</v>
      </c>
      <c r="O225" s="999"/>
      <c r="P225" s="609">
        <v>90</v>
      </c>
      <c r="Q225" s="610">
        <v>3.5299999999999998E-2</v>
      </c>
      <c r="R225" s="1005">
        <v>1</v>
      </c>
      <c r="S225" s="425"/>
      <c r="T225" s="425"/>
    </row>
    <row r="226" spans="1:28" ht="21" customHeight="1" thickBot="1" x14ac:dyDescent="0.3">
      <c r="B226" s="932"/>
      <c r="C226" s="933"/>
      <c r="D226" s="939"/>
      <c r="E226" s="940"/>
      <c r="F226" s="940"/>
      <c r="G226" s="990"/>
      <c r="H226" s="992"/>
      <c r="I226" s="992"/>
      <c r="J226" s="990"/>
      <c r="K226" s="990"/>
      <c r="L226" s="1000" t="s">
        <v>1138</v>
      </c>
      <c r="M226" s="1000"/>
      <c r="N226" s="1000" t="s">
        <v>275</v>
      </c>
      <c r="O226" s="1000"/>
      <c r="P226" s="611">
        <v>45</v>
      </c>
      <c r="Q226" s="612">
        <v>1.77E-2</v>
      </c>
      <c r="R226" s="1007"/>
      <c r="S226" s="425"/>
      <c r="T226" s="425"/>
    </row>
    <row r="227" spans="1:28" ht="21" customHeight="1" thickBot="1" x14ac:dyDescent="0.3">
      <c r="B227" s="993">
        <v>37204126</v>
      </c>
      <c r="C227" s="994"/>
      <c r="D227" s="937" t="s">
        <v>355</v>
      </c>
      <c r="E227" s="938"/>
      <c r="F227" s="938"/>
      <c r="G227" s="989" t="s">
        <v>272</v>
      </c>
      <c r="H227" s="991" t="s">
        <v>269</v>
      </c>
      <c r="I227" s="991"/>
      <c r="J227" s="989">
        <v>6</v>
      </c>
      <c r="K227" s="1037">
        <v>66</v>
      </c>
      <c r="L227" s="999" t="s">
        <v>310</v>
      </c>
      <c r="M227" s="999"/>
      <c r="N227" s="999" t="s">
        <v>260</v>
      </c>
      <c r="O227" s="999"/>
      <c r="P227" s="609">
        <v>324</v>
      </c>
      <c r="Q227" s="610">
        <v>0.12720000000000001</v>
      </c>
      <c r="R227" s="1117">
        <v>1</v>
      </c>
      <c r="S227" s="425"/>
      <c r="T227" s="425"/>
    </row>
    <row r="228" spans="1:28" ht="31.5" customHeight="1" thickBot="1" x14ac:dyDescent="0.3">
      <c r="B228" s="993"/>
      <c r="C228" s="994"/>
      <c r="D228" s="939"/>
      <c r="E228" s="940"/>
      <c r="F228" s="940"/>
      <c r="G228" s="990"/>
      <c r="H228" s="992"/>
      <c r="I228" s="992"/>
      <c r="J228" s="990"/>
      <c r="K228" s="1039"/>
      <c r="L228" s="1000" t="s">
        <v>323</v>
      </c>
      <c r="M228" s="1000"/>
      <c r="N228" s="1000" t="s">
        <v>313</v>
      </c>
      <c r="O228" s="1000"/>
      <c r="P228" s="611">
        <v>148.5</v>
      </c>
      <c r="Q228" s="612">
        <v>5.8299999999999998E-2</v>
      </c>
      <c r="R228" s="1119"/>
      <c r="S228" s="425"/>
      <c r="T228" s="425"/>
    </row>
    <row r="229" spans="1:28" ht="31.5" customHeight="1" thickBot="1" x14ac:dyDescent="0.3">
      <c r="B229" s="993">
        <v>37204110</v>
      </c>
      <c r="C229" s="994"/>
      <c r="D229" s="1016" t="s">
        <v>356</v>
      </c>
      <c r="E229" s="1017"/>
      <c r="F229" s="1017"/>
      <c r="G229" s="615" t="s">
        <v>272</v>
      </c>
      <c r="H229" s="1018" t="s">
        <v>269</v>
      </c>
      <c r="I229" s="1018"/>
      <c r="J229" s="615">
        <v>4</v>
      </c>
      <c r="K229" s="615">
        <v>73</v>
      </c>
      <c r="L229" s="931" t="s">
        <v>357</v>
      </c>
      <c r="M229" s="931"/>
      <c r="N229" s="931" t="s">
        <v>265</v>
      </c>
      <c r="O229" s="931"/>
      <c r="P229" s="616">
        <v>58.5</v>
      </c>
      <c r="Q229" s="617">
        <v>2.3E-2</v>
      </c>
      <c r="R229" s="618">
        <v>1</v>
      </c>
      <c r="S229" s="425"/>
      <c r="T229" s="425"/>
    </row>
    <row r="230" spans="1:28" ht="21" customHeight="1" thickBot="1" x14ac:dyDescent="0.3">
      <c r="B230" s="993">
        <v>37204136</v>
      </c>
      <c r="C230" s="994"/>
      <c r="D230" s="1016" t="s">
        <v>1140</v>
      </c>
      <c r="E230" s="1017"/>
      <c r="F230" s="1017"/>
      <c r="G230" s="615" t="s">
        <v>272</v>
      </c>
      <c r="H230" s="1018" t="s">
        <v>269</v>
      </c>
      <c r="I230" s="1018"/>
      <c r="J230" s="615">
        <v>3</v>
      </c>
      <c r="K230" s="615">
        <v>68</v>
      </c>
      <c r="L230" s="931" t="s">
        <v>950</v>
      </c>
      <c r="M230" s="931"/>
      <c r="N230" s="931" t="s">
        <v>266</v>
      </c>
      <c r="O230" s="931"/>
      <c r="P230" s="616">
        <v>144</v>
      </c>
      <c r="Q230" s="617">
        <v>5.6500000000000002E-2</v>
      </c>
      <c r="R230" s="618">
        <v>1</v>
      </c>
      <c r="S230" s="425"/>
      <c r="T230" s="425"/>
    </row>
    <row r="231" spans="1:28" ht="26.25" customHeight="1" thickBot="1" x14ac:dyDescent="0.3">
      <c r="B231" s="932">
        <v>37204218</v>
      </c>
      <c r="C231" s="933"/>
      <c r="D231" s="1016" t="s">
        <v>358</v>
      </c>
      <c r="E231" s="1017"/>
      <c r="F231" s="1017"/>
      <c r="G231" s="615" t="s">
        <v>272</v>
      </c>
      <c r="H231" s="1018" t="s">
        <v>286</v>
      </c>
      <c r="I231" s="1018"/>
      <c r="J231" s="615">
        <v>3</v>
      </c>
      <c r="K231" s="615">
        <v>17</v>
      </c>
      <c r="L231" s="931" t="s">
        <v>261</v>
      </c>
      <c r="M231" s="931"/>
      <c r="N231" s="931" t="s">
        <v>262</v>
      </c>
      <c r="O231" s="931"/>
      <c r="P231" s="638">
        <v>54</v>
      </c>
      <c r="Q231" s="629">
        <v>2.12E-2</v>
      </c>
      <c r="R231" s="618">
        <v>1</v>
      </c>
      <c r="S231" s="425"/>
      <c r="T231" s="425"/>
      <c r="AB231" s="43"/>
    </row>
    <row r="232" spans="1:28" ht="15.75" customHeight="1" thickBot="1" x14ac:dyDescent="0.3">
      <c r="B232" s="932">
        <v>37204221</v>
      </c>
      <c r="C232" s="933"/>
      <c r="D232" s="1016" t="s">
        <v>359</v>
      </c>
      <c r="E232" s="1017"/>
      <c r="F232" s="1017"/>
      <c r="G232" s="615" t="s">
        <v>272</v>
      </c>
      <c r="H232" s="1018" t="s">
        <v>286</v>
      </c>
      <c r="I232" s="1018"/>
      <c r="J232" s="615">
        <v>3</v>
      </c>
      <c r="K232" s="615">
        <v>22</v>
      </c>
      <c r="L232" s="931" t="s">
        <v>951</v>
      </c>
      <c r="M232" s="931"/>
      <c r="N232" s="931" t="s">
        <v>281</v>
      </c>
      <c r="O232" s="931"/>
      <c r="P232" s="638">
        <v>36</v>
      </c>
      <c r="Q232" s="629">
        <v>1.41E-2</v>
      </c>
      <c r="R232" s="618">
        <v>1</v>
      </c>
      <c r="S232" s="425"/>
      <c r="T232" s="425"/>
    </row>
    <row r="233" spans="1:28" ht="15.75" customHeight="1" thickBot="1" x14ac:dyDescent="0.3">
      <c r="B233" s="932">
        <v>37204224</v>
      </c>
      <c r="C233" s="933"/>
      <c r="D233" s="1016" t="s">
        <v>360</v>
      </c>
      <c r="E233" s="1017"/>
      <c r="F233" s="1017"/>
      <c r="G233" s="615" t="s">
        <v>272</v>
      </c>
      <c r="H233" s="1018" t="s">
        <v>286</v>
      </c>
      <c r="I233" s="1018"/>
      <c r="J233" s="615">
        <v>3</v>
      </c>
      <c r="K233" s="615">
        <v>21</v>
      </c>
      <c r="L233" s="1089" t="s">
        <v>950</v>
      </c>
      <c r="M233" s="1089"/>
      <c r="N233" s="1089" t="s">
        <v>266</v>
      </c>
      <c r="O233" s="1089"/>
      <c r="P233" s="638">
        <v>144</v>
      </c>
      <c r="Q233" s="629">
        <v>5.6500000000000002E-2</v>
      </c>
      <c r="R233" s="618">
        <v>1</v>
      </c>
      <c r="S233" s="425"/>
      <c r="T233" s="425"/>
    </row>
    <row r="234" spans="1:28" ht="21" customHeight="1" thickBot="1" x14ac:dyDescent="0.3">
      <c r="B234" s="932">
        <v>37204116</v>
      </c>
      <c r="C234" s="933"/>
      <c r="D234" s="937" t="s">
        <v>361</v>
      </c>
      <c r="E234" s="938"/>
      <c r="F234" s="938"/>
      <c r="G234" s="989" t="s">
        <v>279</v>
      </c>
      <c r="H234" s="991" t="s">
        <v>269</v>
      </c>
      <c r="I234" s="991"/>
      <c r="J234" s="989">
        <v>3</v>
      </c>
      <c r="K234" s="989">
        <v>49</v>
      </c>
      <c r="L234" s="999" t="s">
        <v>957</v>
      </c>
      <c r="M234" s="999"/>
      <c r="N234" s="999" t="s">
        <v>275</v>
      </c>
      <c r="O234" s="999"/>
      <c r="P234" s="999">
        <v>27</v>
      </c>
      <c r="Q234" s="1001">
        <v>1.06E-2</v>
      </c>
      <c r="R234" s="1005">
        <v>1</v>
      </c>
      <c r="S234" s="425"/>
      <c r="T234" s="425"/>
    </row>
    <row r="235" spans="1:28" ht="30" customHeight="1" thickBot="1" x14ac:dyDescent="0.3">
      <c r="B235" s="932"/>
      <c r="C235" s="933"/>
      <c r="D235" s="939"/>
      <c r="E235" s="940"/>
      <c r="F235" s="940"/>
      <c r="G235" s="990"/>
      <c r="H235" s="992"/>
      <c r="I235" s="992"/>
      <c r="J235" s="990"/>
      <c r="K235" s="990"/>
      <c r="L235" s="1000"/>
      <c r="M235" s="1000"/>
      <c r="N235" s="1000"/>
      <c r="O235" s="1000"/>
      <c r="P235" s="1000"/>
      <c r="Q235" s="1002"/>
      <c r="R235" s="1007"/>
      <c r="S235" s="425"/>
      <c r="T235" s="425"/>
    </row>
    <row r="236" spans="1:28" ht="21" customHeight="1" thickBot="1" x14ac:dyDescent="0.3">
      <c r="B236" s="932">
        <v>37204117</v>
      </c>
      <c r="C236" s="933"/>
      <c r="D236" s="1016" t="s">
        <v>362</v>
      </c>
      <c r="E236" s="1017"/>
      <c r="F236" s="1017"/>
      <c r="G236" s="615" t="s">
        <v>279</v>
      </c>
      <c r="H236" s="1018" t="s">
        <v>269</v>
      </c>
      <c r="I236" s="1018"/>
      <c r="J236" s="615">
        <v>3</v>
      </c>
      <c r="K236" s="615">
        <v>41</v>
      </c>
      <c r="L236" s="931" t="s">
        <v>958</v>
      </c>
      <c r="M236" s="931"/>
      <c r="N236" s="931" t="s">
        <v>265</v>
      </c>
      <c r="O236" s="931"/>
      <c r="P236" s="616">
        <v>27</v>
      </c>
      <c r="Q236" s="617">
        <v>1.06E-2</v>
      </c>
      <c r="R236" s="618">
        <v>1</v>
      </c>
      <c r="S236" s="425"/>
      <c r="T236" s="425"/>
    </row>
    <row r="237" spans="1:28" ht="27" customHeight="1" thickBot="1" x14ac:dyDescent="0.3">
      <c r="B237" s="932">
        <v>37204118</v>
      </c>
      <c r="C237" s="933"/>
      <c r="D237" s="937" t="s">
        <v>363</v>
      </c>
      <c r="E237" s="938"/>
      <c r="F237" s="938"/>
      <c r="G237" s="989" t="s">
        <v>364</v>
      </c>
      <c r="H237" s="991" t="s">
        <v>269</v>
      </c>
      <c r="I237" s="991"/>
      <c r="J237" s="989">
        <v>3</v>
      </c>
      <c r="K237" s="989">
        <v>48</v>
      </c>
      <c r="L237" s="999" t="s">
        <v>357</v>
      </c>
      <c r="M237" s="999"/>
      <c r="N237" s="999" t="s">
        <v>265</v>
      </c>
      <c r="O237" s="999"/>
      <c r="P237" s="609">
        <v>58.5</v>
      </c>
      <c r="Q237" s="610">
        <v>2.3E-2</v>
      </c>
      <c r="R237" s="1005">
        <v>1</v>
      </c>
      <c r="S237" s="425"/>
      <c r="T237" s="425"/>
    </row>
    <row r="238" spans="1:28" ht="21" customHeight="1" thickBot="1" x14ac:dyDescent="0.3">
      <c r="A238" s="1010"/>
      <c r="B238" s="932"/>
      <c r="C238" s="933"/>
      <c r="D238" s="939"/>
      <c r="E238" s="940"/>
      <c r="F238" s="940"/>
      <c r="G238" s="990"/>
      <c r="H238" s="992"/>
      <c r="I238" s="992"/>
      <c r="J238" s="990"/>
      <c r="K238" s="990"/>
      <c r="L238" s="1000" t="s">
        <v>274</v>
      </c>
      <c r="M238" s="1000"/>
      <c r="N238" s="1000" t="s">
        <v>267</v>
      </c>
      <c r="O238" s="1000"/>
      <c r="P238" s="611">
        <v>4.5</v>
      </c>
      <c r="Q238" s="612">
        <v>1.8E-3</v>
      </c>
      <c r="R238" s="1007"/>
      <c r="S238" s="425"/>
      <c r="T238" s="425"/>
    </row>
    <row r="239" spans="1:28" ht="30" customHeight="1" thickBot="1" x14ac:dyDescent="0.3">
      <c r="A239" s="1010"/>
      <c r="B239" s="932">
        <v>37204114</v>
      </c>
      <c r="C239" s="933"/>
      <c r="D239" s="937" t="s">
        <v>365</v>
      </c>
      <c r="E239" s="938"/>
      <c r="F239" s="938"/>
      <c r="G239" s="989" t="s">
        <v>279</v>
      </c>
      <c r="H239" s="991" t="s">
        <v>269</v>
      </c>
      <c r="I239" s="991"/>
      <c r="J239" s="989">
        <v>3</v>
      </c>
      <c r="K239" s="989">
        <v>48</v>
      </c>
      <c r="L239" s="999" t="s">
        <v>1403</v>
      </c>
      <c r="M239" s="999"/>
      <c r="N239" s="999" t="s">
        <v>265</v>
      </c>
      <c r="O239" s="999"/>
      <c r="P239" s="609">
        <v>4.5</v>
      </c>
      <c r="Q239" s="610">
        <v>1.8E-3</v>
      </c>
      <c r="R239" s="1005">
        <v>1</v>
      </c>
      <c r="S239" s="425"/>
      <c r="T239" s="425"/>
    </row>
    <row r="240" spans="1:28" ht="21" customHeight="1" thickBot="1" x14ac:dyDescent="0.3">
      <c r="A240" s="1010"/>
      <c r="B240" s="932"/>
      <c r="C240" s="933"/>
      <c r="D240" s="1008"/>
      <c r="E240" s="1009"/>
      <c r="F240" s="1009"/>
      <c r="G240" s="1004"/>
      <c r="H240" s="1003"/>
      <c r="I240" s="1003"/>
      <c r="J240" s="1004"/>
      <c r="K240" s="1004"/>
      <c r="L240" s="1020" t="s">
        <v>1404</v>
      </c>
      <c r="M240" s="1020"/>
      <c r="N240" s="1020" t="s">
        <v>265</v>
      </c>
      <c r="O240" s="1020"/>
      <c r="P240" s="607">
        <v>9</v>
      </c>
      <c r="Q240" s="608">
        <v>3.5000000000000001E-3</v>
      </c>
      <c r="R240" s="1006"/>
      <c r="S240" s="425"/>
      <c r="T240" s="425"/>
    </row>
    <row r="241" spans="1:20" ht="27" customHeight="1" thickBot="1" x14ac:dyDescent="0.3">
      <c r="A241" s="1010"/>
      <c r="B241" s="932"/>
      <c r="C241" s="933"/>
      <c r="D241" s="939"/>
      <c r="E241" s="940"/>
      <c r="F241" s="940"/>
      <c r="G241" s="990"/>
      <c r="H241" s="992"/>
      <c r="I241" s="992"/>
      <c r="J241" s="990"/>
      <c r="K241" s="990"/>
      <c r="L241" s="1000" t="s">
        <v>1405</v>
      </c>
      <c r="M241" s="1000"/>
      <c r="N241" s="1000" t="s">
        <v>265</v>
      </c>
      <c r="O241" s="1000"/>
      <c r="P241" s="611">
        <v>6.3</v>
      </c>
      <c r="Q241" s="612">
        <v>2.5000000000000001E-3</v>
      </c>
      <c r="R241" s="1007"/>
      <c r="S241" s="425"/>
      <c r="T241" s="425"/>
    </row>
    <row r="242" spans="1:20" ht="27" customHeight="1" thickBot="1" x14ac:dyDescent="0.3">
      <c r="A242" s="48"/>
      <c r="B242" s="993">
        <v>37204127</v>
      </c>
      <c r="C242" s="994"/>
      <c r="D242" s="937" t="s">
        <v>366</v>
      </c>
      <c r="E242" s="938"/>
      <c r="F242" s="938"/>
      <c r="G242" s="989" t="s">
        <v>279</v>
      </c>
      <c r="H242" s="991" t="s">
        <v>269</v>
      </c>
      <c r="I242" s="991"/>
      <c r="J242" s="989">
        <v>6</v>
      </c>
      <c r="K242" s="989">
        <v>47</v>
      </c>
      <c r="L242" s="999" t="s">
        <v>311</v>
      </c>
      <c r="M242" s="999"/>
      <c r="N242" s="999" t="s">
        <v>262</v>
      </c>
      <c r="O242" s="999"/>
      <c r="P242" s="609">
        <v>117</v>
      </c>
      <c r="Q242" s="610">
        <v>4.5900000000000003E-2</v>
      </c>
      <c r="R242" s="1005">
        <v>1</v>
      </c>
      <c r="S242" s="425"/>
      <c r="T242" s="425"/>
    </row>
    <row r="243" spans="1:20" ht="21" customHeight="1" thickBot="1" x14ac:dyDescent="0.3">
      <c r="A243" s="48"/>
      <c r="B243" s="993"/>
      <c r="C243" s="994"/>
      <c r="D243" s="1008"/>
      <c r="E243" s="1009"/>
      <c r="F243" s="1009"/>
      <c r="G243" s="1004"/>
      <c r="H243" s="1003"/>
      <c r="I243" s="1003"/>
      <c r="J243" s="1004"/>
      <c r="K243" s="1004"/>
      <c r="L243" s="1020" t="s">
        <v>319</v>
      </c>
      <c r="M243" s="1020"/>
      <c r="N243" s="1020" t="s">
        <v>262</v>
      </c>
      <c r="O243" s="1020"/>
      <c r="P243" s="607">
        <v>180</v>
      </c>
      <c r="Q243" s="608">
        <v>7.0699999999999999E-2</v>
      </c>
      <c r="R243" s="1006"/>
      <c r="S243" s="425"/>
      <c r="T243" s="425"/>
    </row>
    <row r="244" spans="1:20" ht="31.5" customHeight="1" thickBot="1" x14ac:dyDescent="0.3">
      <c r="A244" s="48"/>
      <c r="B244" s="993"/>
      <c r="C244" s="994"/>
      <c r="D244" s="939"/>
      <c r="E244" s="940"/>
      <c r="F244" s="940"/>
      <c r="G244" s="990"/>
      <c r="H244" s="992"/>
      <c r="I244" s="992"/>
      <c r="J244" s="990"/>
      <c r="K244" s="990"/>
      <c r="L244" s="1021" t="s">
        <v>950</v>
      </c>
      <c r="M244" s="1021"/>
      <c r="N244" s="1021" t="s">
        <v>266</v>
      </c>
      <c r="O244" s="1021"/>
      <c r="P244" s="633">
        <v>144</v>
      </c>
      <c r="Q244" s="636">
        <v>5.6500000000000002E-2</v>
      </c>
      <c r="R244" s="1007"/>
      <c r="S244" s="425"/>
      <c r="T244" s="425"/>
    </row>
    <row r="245" spans="1:20" ht="21" customHeight="1" thickBot="1" x14ac:dyDescent="0.3">
      <c r="A245" s="1011"/>
      <c r="B245" s="932">
        <v>37204128</v>
      </c>
      <c r="C245" s="933"/>
      <c r="D245" s="937" t="s">
        <v>367</v>
      </c>
      <c r="E245" s="938"/>
      <c r="F245" s="938"/>
      <c r="G245" s="989" t="s">
        <v>279</v>
      </c>
      <c r="H245" s="991" t="s">
        <v>269</v>
      </c>
      <c r="I245" s="991"/>
      <c r="J245" s="989">
        <v>6</v>
      </c>
      <c r="K245" s="989">
        <v>47</v>
      </c>
      <c r="L245" s="999" t="s">
        <v>310</v>
      </c>
      <c r="M245" s="999"/>
      <c r="N245" s="999" t="s">
        <v>260</v>
      </c>
      <c r="O245" s="999"/>
      <c r="P245" s="609">
        <v>324</v>
      </c>
      <c r="Q245" s="610">
        <v>0.12720000000000001</v>
      </c>
      <c r="R245" s="1005">
        <v>1</v>
      </c>
      <c r="S245" s="425"/>
      <c r="T245" s="425"/>
    </row>
    <row r="246" spans="1:20" ht="31.5" customHeight="1" thickBot="1" x14ac:dyDescent="0.3">
      <c r="A246" s="1011"/>
      <c r="B246" s="932"/>
      <c r="C246" s="933"/>
      <c r="D246" s="939"/>
      <c r="E246" s="940"/>
      <c r="F246" s="940"/>
      <c r="G246" s="990"/>
      <c r="H246" s="992"/>
      <c r="I246" s="992"/>
      <c r="J246" s="990"/>
      <c r="K246" s="990"/>
      <c r="L246" s="1000" t="s">
        <v>319</v>
      </c>
      <c r="M246" s="1000"/>
      <c r="N246" s="1000" t="s">
        <v>262</v>
      </c>
      <c r="O246" s="1000"/>
      <c r="P246" s="611">
        <v>180</v>
      </c>
      <c r="Q246" s="612">
        <v>7.0699999999999999E-2</v>
      </c>
      <c r="R246" s="1007"/>
      <c r="S246" s="425"/>
      <c r="T246" s="425"/>
    </row>
    <row r="247" spans="1:20" ht="31.5" customHeight="1" thickBot="1" x14ac:dyDescent="0.3">
      <c r="B247" s="932">
        <v>37204129</v>
      </c>
      <c r="C247" s="933"/>
      <c r="D247" s="1016" t="s">
        <v>368</v>
      </c>
      <c r="E247" s="1017"/>
      <c r="F247" s="1017"/>
      <c r="G247" s="615" t="s">
        <v>279</v>
      </c>
      <c r="H247" s="1018" t="s">
        <v>269</v>
      </c>
      <c r="I247" s="1018"/>
      <c r="J247" s="615">
        <v>6</v>
      </c>
      <c r="K247" s="615">
        <v>41</v>
      </c>
      <c r="L247" s="931" t="s">
        <v>1139</v>
      </c>
      <c r="M247" s="931"/>
      <c r="N247" s="931" t="s">
        <v>281</v>
      </c>
      <c r="O247" s="931"/>
      <c r="P247" s="616">
        <v>126</v>
      </c>
      <c r="Q247" s="617">
        <v>4.9500000000000002E-2</v>
      </c>
      <c r="R247" s="618">
        <v>1</v>
      </c>
      <c r="S247" s="425"/>
      <c r="T247" s="425"/>
    </row>
    <row r="248" spans="1:20" ht="24" customHeight="1" thickBot="1" x14ac:dyDescent="0.3">
      <c r="B248" s="932">
        <v>37204131</v>
      </c>
      <c r="C248" s="933"/>
      <c r="D248" s="937" t="s">
        <v>369</v>
      </c>
      <c r="E248" s="938"/>
      <c r="F248" s="938"/>
      <c r="G248" s="989" t="s">
        <v>279</v>
      </c>
      <c r="H248" s="991" t="s">
        <v>269</v>
      </c>
      <c r="I248" s="991"/>
      <c r="J248" s="989">
        <v>6</v>
      </c>
      <c r="K248" s="989">
        <v>41</v>
      </c>
      <c r="L248" s="999" t="s">
        <v>310</v>
      </c>
      <c r="M248" s="999"/>
      <c r="N248" s="999" t="s">
        <v>260</v>
      </c>
      <c r="O248" s="999"/>
      <c r="P248" s="999">
        <v>324</v>
      </c>
      <c r="Q248" s="1001">
        <v>0.12720000000000001</v>
      </c>
      <c r="R248" s="1005">
        <v>1</v>
      </c>
      <c r="S248" s="425"/>
      <c r="T248" s="425"/>
    </row>
    <row r="249" spans="1:20" ht="27.75" customHeight="1" thickBot="1" x14ac:dyDescent="0.3">
      <c r="B249" s="932"/>
      <c r="C249" s="933"/>
      <c r="D249" s="939"/>
      <c r="E249" s="940"/>
      <c r="F249" s="940"/>
      <c r="G249" s="990"/>
      <c r="H249" s="992"/>
      <c r="I249" s="992"/>
      <c r="J249" s="990"/>
      <c r="K249" s="990"/>
      <c r="L249" s="1000"/>
      <c r="M249" s="1000"/>
      <c r="N249" s="1000"/>
      <c r="O249" s="1000"/>
      <c r="P249" s="1000"/>
      <c r="Q249" s="1002"/>
      <c r="R249" s="1007"/>
      <c r="S249" s="425"/>
      <c r="T249" s="425"/>
    </row>
    <row r="250" spans="1:20" ht="28.5" customHeight="1" thickBot="1" x14ac:dyDescent="0.3">
      <c r="B250" s="932">
        <v>37204130</v>
      </c>
      <c r="C250" s="933"/>
      <c r="D250" s="1016" t="s">
        <v>370</v>
      </c>
      <c r="E250" s="1017"/>
      <c r="F250" s="1017"/>
      <c r="G250" s="615" t="s">
        <v>279</v>
      </c>
      <c r="H250" s="1018" t="s">
        <v>269</v>
      </c>
      <c r="I250" s="1018"/>
      <c r="J250" s="615">
        <v>6</v>
      </c>
      <c r="K250" s="615">
        <v>44</v>
      </c>
      <c r="L250" s="931" t="s">
        <v>311</v>
      </c>
      <c r="M250" s="931"/>
      <c r="N250" s="931" t="s">
        <v>262</v>
      </c>
      <c r="O250" s="931"/>
      <c r="P250" s="616">
        <v>117</v>
      </c>
      <c r="Q250" s="617">
        <v>4.5900000000000003E-2</v>
      </c>
      <c r="R250" s="618">
        <v>1</v>
      </c>
      <c r="S250" s="425"/>
      <c r="T250" s="425"/>
    </row>
    <row r="251" spans="1:20" ht="25.5" customHeight="1" thickBot="1" x14ac:dyDescent="0.3">
      <c r="B251" s="932">
        <v>37204301</v>
      </c>
      <c r="C251" s="933"/>
      <c r="D251" s="937" t="s">
        <v>287</v>
      </c>
      <c r="E251" s="938"/>
      <c r="F251" s="938"/>
      <c r="G251" s="989" t="s">
        <v>279</v>
      </c>
      <c r="H251" s="991" t="s">
        <v>269</v>
      </c>
      <c r="I251" s="991"/>
      <c r="J251" s="989">
        <v>6</v>
      </c>
      <c r="K251" s="989">
        <v>56</v>
      </c>
      <c r="L251" s="999" t="s">
        <v>310</v>
      </c>
      <c r="M251" s="999"/>
      <c r="N251" s="999" t="s">
        <v>260</v>
      </c>
      <c r="O251" s="999"/>
      <c r="P251" s="609">
        <v>324</v>
      </c>
      <c r="Q251" s="610">
        <v>0.12720000000000001</v>
      </c>
      <c r="R251" s="1005">
        <v>1</v>
      </c>
      <c r="S251" s="425"/>
      <c r="T251" s="425"/>
    </row>
    <row r="252" spans="1:20" ht="18.75" customHeight="1" thickBot="1" x14ac:dyDescent="0.3">
      <c r="B252" s="932"/>
      <c r="C252" s="933"/>
      <c r="D252" s="1008"/>
      <c r="E252" s="1009"/>
      <c r="F252" s="1009"/>
      <c r="G252" s="1004"/>
      <c r="H252" s="1003"/>
      <c r="I252" s="1003"/>
      <c r="J252" s="1004"/>
      <c r="K252" s="1004"/>
      <c r="L252" s="1126" t="s">
        <v>1406</v>
      </c>
      <c r="M252" s="1126"/>
      <c r="N252" s="1020" t="s">
        <v>260</v>
      </c>
      <c r="O252" s="1020"/>
      <c r="P252" s="607">
        <v>9</v>
      </c>
      <c r="Q252" s="608">
        <v>0.35</v>
      </c>
      <c r="R252" s="1006"/>
      <c r="S252" s="425"/>
      <c r="T252" s="425"/>
    </row>
    <row r="253" spans="1:20" ht="24" customHeight="1" thickBot="1" x14ac:dyDescent="0.3">
      <c r="B253" s="932"/>
      <c r="C253" s="933"/>
      <c r="D253" s="1008"/>
      <c r="E253" s="1009"/>
      <c r="F253" s="1009"/>
      <c r="G253" s="1004"/>
      <c r="H253" s="1003"/>
      <c r="I253" s="1003"/>
      <c r="J253" s="1004"/>
      <c r="K253" s="1004"/>
      <c r="L253" s="1127" t="s">
        <v>950</v>
      </c>
      <c r="M253" s="1127"/>
      <c r="N253" s="1127" t="s">
        <v>266</v>
      </c>
      <c r="O253" s="1127"/>
      <c r="P253" s="623">
        <v>144</v>
      </c>
      <c r="Q253" s="624">
        <v>5.6500000000000002E-2</v>
      </c>
      <c r="R253" s="1006"/>
      <c r="S253" s="425"/>
      <c r="T253" s="425"/>
    </row>
    <row r="254" spans="1:20" ht="21" customHeight="1" thickBot="1" x14ac:dyDescent="0.3">
      <c r="B254" s="932"/>
      <c r="C254" s="933"/>
      <c r="D254" s="1008"/>
      <c r="E254" s="1009"/>
      <c r="F254" s="1009"/>
      <c r="G254" s="1004"/>
      <c r="H254" s="1003"/>
      <c r="I254" s="1003"/>
      <c r="J254" s="1004"/>
      <c r="K254" s="1004"/>
      <c r="L254" s="1020" t="s">
        <v>1399</v>
      </c>
      <c r="M254" s="1020"/>
      <c r="N254" s="1020" t="s">
        <v>1400</v>
      </c>
      <c r="O254" s="1020"/>
      <c r="P254" s="607">
        <v>58.5</v>
      </c>
      <c r="Q254" s="608">
        <v>2.3E-2</v>
      </c>
      <c r="R254" s="1006"/>
      <c r="S254" s="425"/>
      <c r="T254" s="425"/>
    </row>
    <row r="255" spans="1:20" ht="22.5" customHeight="1" thickBot="1" x14ac:dyDescent="0.3">
      <c r="B255" s="932"/>
      <c r="C255" s="933"/>
      <c r="D255" s="939"/>
      <c r="E255" s="940"/>
      <c r="F255" s="940"/>
      <c r="G255" s="990"/>
      <c r="H255" s="992"/>
      <c r="I255" s="992"/>
      <c r="J255" s="990"/>
      <c r="K255" s="990"/>
      <c r="L255" s="1000" t="s">
        <v>951</v>
      </c>
      <c r="M255" s="1000"/>
      <c r="N255" s="1000" t="s">
        <v>281</v>
      </c>
      <c r="O255" s="1000"/>
      <c r="P255" s="611">
        <v>36</v>
      </c>
      <c r="Q255" s="612">
        <v>1.4200000000000001E-2</v>
      </c>
      <c r="R255" s="1007"/>
      <c r="S255" s="425"/>
      <c r="T255" s="425"/>
    </row>
    <row r="256" spans="1:20" ht="28.5" customHeight="1" thickBot="1" x14ac:dyDescent="0.3">
      <c r="B256" s="932">
        <v>37204223</v>
      </c>
      <c r="C256" s="933"/>
      <c r="D256" s="937" t="s">
        <v>371</v>
      </c>
      <c r="E256" s="938"/>
      <c r="F256" s="938"/>
      <c r="G256" s="989" t="s">
        <v>279</v>
      </c>
      <c r="H256" s="991" t="s">
        <v>286</v>
      </c>
      <c r="I256" s="991"/>
      <c r="J256" s="989">
        <v>3</v>
      </c>
      <c r="K256" s="989">
        <v>30</v>
      </c>
      <c r="L256" s="999" t="s">
        <v>340</v>
      </c>
      <c r="M256" s="999"/>
      <c r="N256" s="999" t="s">
        <v>267</v>
      </c>
      <c r="O256" s="999"/>
      <c r="P256" s="999">
        <v>241</v>
      </c>
      <c r="Q256" s="1001">
        <v>9.4700000000000006E-2</v>
      </c>
      <c r="R256" s="1005">
        <v>1</v>
      </c>
      <c r="S256" s="425"/>
      <c r="T256" s="425"/>
    </row>
    <row r="257" spans="2:20" ht="28.5" customHeight="1" thickBot="1" x14ac:dyDescent="0.3">
      <c r="B257" s="932"/>
      <c r="C257" s="933"/>
      <c r="D257" s="939"/>
      <c r="E257" s="940"/>
      <c r="F257" s="940"/>
      <c r="G257" s="990"/>
      <c r="H257" s="992"/>
      <c r="I257" s="992"/>
      <c r="J257" s="990"/>
      <c r="K257" s="990"/>
      <c r="L257" s="1000"/>
      <c r="M257" s="1000"/>
      <c r="N257" s="1000"/>
      <c r="O257" s="1000"/>
      <c r="P257" s="1000"/>
      <c r="Q257" s="1002"/>
      <c r="R257" s="1007"/>
      <c r="S257" s="425"/>
      <c r="T257" s="425"/>
    </row>
    <row r="258" spans="2:20" ht="28.5" customHeight="1" thickBot="1" x14ac:dyDescent="0.3">
      <c r="B258" s="932">
        <v>37204210</v>
      </c>
      <c r="C258" s="933"/>
      <c r="D258" s="1016" t="s">
        <v>372</v>
      </c>
      <c r="E258" s="1017"/>
      <c r="F258" s="1017"/>
      <c r="G258" s="615" t="s">
        <v>279</v>
      </c>
      <c r="H258" s="1018" t="s">
        <v>286</v>
      </c>
      <c r="I258" s="1018"/>
      <c r="J258" s="615">
        <v>3</v>
      </c>
      <c r="K258" s="615">
        <v>18</v>
      </c>
      <c r="L258" s="931" t="s">
        <v>264</v>
      </c>
      <c r="M258" s="931"/>
      <c r="N258" s="931" t="s">
        <v>265</v>
      </c>
      <c r="O258" s="931"/>
      <c r="P258" s="616">
        <v>54</v>
      </c>
      <c r="Q258" s="629">
        <v>2.12E-2</v>
      </c>
      <c r="R258" s="618">
        <v>1</v>
      </c>
      <c r="S258" s="425"/>
      <c r="T258" s="425"/>
    </row>
    <row r="259" spans="2:20" ht="30" customHeight="1" thickBot="1" x14ac:dyDescent="0.3">
      <c r="B259" s="932">
        <v>37204205</v>
      </c>
      <c r="C259" s="933"/>
      <c r="D259" s="1016" t="s">
        <v>373</v>
      </c>
      <c r="E259" s="1017"/>
      <c r="F259" s="1017"/>
      <c r="G259" s="615" t="s">
        <v>279</v>
      </c>
      <c r="H259" s="1018" t="s">
        <v>286</v>
      </c>
      <c r="I259" s="1018"/>
      <c r="J259" s="615">
        <v>3</v>
      </c>
      <c r="K259" s="615">
        <v>26</v>
      </c>
      <c r="L259" s="931" t="s">
        <v>342</v>
      </c>
      <c r="M259" s="931"/>
      <c r="N259" s="931" t="s">
        <v>265</v>
      </c>
      <c r="O259" s="931"/>
      <c r="P259" s="616">
        <v>67.5</v>
      </c>
      <c r="Q259" s="617">
        <v>2.6499999999999999E-2</v>
      </c>
      <c r="R259" s="618">
        <v>1</v>
      </c>
      <c r="S259" s="425"/>
      <c r="T259" s="425"/>
    </row>
    <row r="260" spans="2:20" ht="24.75" customHeight="1" thickBot="1" x14ac:dyDescent="0.3">
      <c r="B260" s="932">
        <v>37204209</v>
      </c>
      <c r="C260" s="933"/>
      <c r="D260" s="937" t="s">
        <v>374</v>
      </c>
      <c r="E260" s="938"/>
      <c r="F260" s="938"/>
      <c r="G260" s="989" t="s">
        <v>279</v>
      </c>
      <c r="H260" s="991" t="s">
        <v>286</v>
      </c>
      <c r="I260" s="991"/>
      <c r="J260" s="989">
        <v>3</v>
      </c>
      <c r="K260" s="989">
        <v>32</v>
      </c>
      <c r="L260" s="999" t="s">
        <v>340</v>
      </c>
      <c r="M260" s="999"/>
      <c r="N260" s="999" t="s">
        <v>267</v>
      </c>
      <c r="O260" s="999"/>
      <c r="P260" s="999">
        <v>241</v>
      </c>
      <c r="Q260" s="1001">
        <v>9.4700000000000006E-2</v>
      </c>
      <c r="R260" s="1005">
        <v>1</v>
      </c>
      <c r="S260" s="425"/>
      <c r="T260" s="425"/>
    </row>
    <row r="261" spans="2:20" ht="24.75" customHeight="1" thickBot="1" x14ac:dyDescent="0.3">
      <c r="B261" s="932"/>
      <c r="C261" s="933"/>
      <c r="D261" s="939"/>
      <c r="E261" s="940"/>
      <c r="F261" s="940"/>
      <c r="G261" s="990"/>
      <c r="H261" s="992"/>
      <c r="I261" s="992"/>
      <c r="J261" s="990"/>
      <c r="K261" s="990"/>
      <c r="L261" s="1000"/>
      <c r="M261" s="1000"/>
      <c r="N261" s="1000"/>
      <c r="O261" s="1000"/>
      <c r="P261" s="1000"/>
      <c r="Q261" s="1002"/>
      <c r="R261" s="1007"/>
      <c r="S261" s="425"/>
      <c r="T261" s="425"/>
    </row>
    <row r="262" spans="2:20" ht="24.75" customHeight="1" thickBot="1" x14ac:dyDescent="0.3">
      <c r="B262" s="932">
        <v>37204206</v>
      </c>
      <c r="C262" s="933"/>
      <c r="D262" s="937" t="s">
        <v>375</v>
      </c>
      <c r="E262" s="938"/>
      <c r="F262" s="938"/>
      <c r="G262" s="989" t="s">
        <v>279</v>
      </c>
      <c r="H262" s="991" t="s">
        <v>286</v>
      </c>
      <c r="I262" s="991"/>
      <c r="J262" s="989">
        <v>3</v>
      </c>
      <c r="K262" s="989">
        <v>15</v>
      </c>
      <c r="L262" s="1128" t="s">
        <v>950</v>
      </c>
      <c r="M262" s="1128"/>
      <c r="N262" s="1128" t="s">
        <v>266</v>
      </c>
      <c r="O262" s="1128"/>
      <c r="P262" s="627">
        <v>144</v>
      </c>
      <c r="Q262" s="628">
        <v>5.6500000000000002E-2</v>
      </c>
      <c r="R262" s="1005">
        <v>1</v>
      </c>
      <c r="S262" s="425"/>
      <c r="T262" s="425"/>
    </row>
    <row r="263" spans="2:20" ht="24.75" customHeight="1" thickBot="1" x14ac:dyDescent="0.3">
      <c r="B263" s="932"/>
      <c r="C263" s="933"/>
      <c r="D263" s="939"/>
      <c r="E263" s="940"/>
      <c r="F263" s="940"/>
      <c r="G263" s="990"/>
      <c r="H263" s="992"/>
      <c r="I263" s="992"/>
      <c r="J263" s="990"/>
      <c r="K263" s="990"/>
      <c r="L263" s="1021" t="s">
        <v>952</v>
      </c>
      <c r="M263" s="1021"/>
      <c r="N263" s="1021" t="s">
        <v>275</v>
      </c>
      <c r="O263" s="1021"/>
      <c r="P263" s="611">
        <v>18</v>
      </c>
      <c r="Q263" s="612">
        <v>7.1000000000000004E-3</v>
      </c>
      <c r="R263" s="1007"/>
      <c r="S263" s="425"/>
      <c r="T263" s="425"/>
    </row>
    <row r="264" spans="2:20" ht="24.75" customHeight="1" thickBot="1" x14ac:dyDescent="0.3">
      <c r="B264" s="932">
        <v>37204226</v>
      </c>
      <c r="C264" s="933"/>
      <c r="D264" s="1016" t="s">
        <v>895</v>
      </c>
      <c r="E264" s="1017"/>
      <c r="F264" s="1017"/>
      <c r="G264" s="615" t="s">
        <v>279</v>
      </c>
      <c r="H264" s="1018" t="s">
        <v>286</v>
      </c>
      <c r="I264" s="1018"/>
      <c r="J264" s="615">
        <v>3</v>
      </c>
      <c r="K264" s="615">
        <v>28</v>
      </c>
      <c r="L264" s="931" t="s">
        <v>323</v>
      </c>
      <c r="M264" s="931"/>
      <c r="N264" s="931" t="s">
        <v>313</v>
      </c>
      <c r="O264" s="931"/>
      <c r="P264" s="616">
        <v>148.5</v>
      </c>
      <c r="Q264" s="617">
        <v>5.8299999999999998E-2</v>
      </c>
      <c r="R264" s="618">
        <v>1</v>
      </c>
      <c r="S264" s="425"/>
      <c r="T264" s="425"/>
    </row>
    <row r="265" spans="2:20" ht="24.75" customHeight="1" thickBot="1" x14ac:dyDescent="0.3">
      <c r="B265" s="932">
        <v>37204225</v>
      </c>
      <c r="C265" s="933"/>
      <c r="D265" s="934" t="s">
        <v>280</v>
      </c>
      <c r="E265" s="935"/>
      <c r="F265" s="935"/>
      <c r="G265" s="634" t="s">
        <v>279</v>
      </c>
      <c r="H265" s="936" t="s">
        <v>286</v>
      </c>
      <c r="I265" s="936"/>
      <c r="J265" s="634">
        <v>3</v>
      </c>
      <c r="K265" s="634">
        <v>30</v>
      </c>
      <c r="L265" s="921" t="s">
        <v>319</v>
      </c>
      <c r="M265" s="921"/>
      <c r="N265" s="922" t="s">
        <v>262</v>
      </c>
      <c r="O265" s="922"/>
      <c r="P265" s="639">
        <v>180</v>
      </c>
      <c r="Q265" s="640">
        <v>7.0699999999999999E-2</v>
      </c>
      <c r="R265" s="641">
        <v>1</v>
      </c>
      <c r="S265" s="425"/>
      <c r="T265" s="425"/>
    </row>
    <row r="266" spans="2:20" ht="15.75" customHeight="1" x14ac:dyDescent="0.25">
      <c r="B266" s="1047" t="s">
        <v>1922</v>
      </c>
      <c r="C266" s="1047"/>
      <c r="I266" s="48"/>
      <c r="S266" s="425"/>
      <c r="T266" s="425"/>
    </row>
    <row r="267" spans="2:20" ht="15.75" customHeight="1" x14ac:dyDescent="0.25">
      <c r="B267" s="1013" t="s">
        <v>880</v>
      </c>
      <c r="C267" s="1013"/>
      <c r="D267" s="1013"/>
      <c r="E267" s="1013"/>
      <c r="F267" s="1013"/>
      <c r="G267" s="1013"/>
      <c r="H267" s="1013"/>
    </row>
    <row r="268" spans="2:20" ht="15.75" customHeight="1" x14ac:dyDescent="0.25">
      <c r="B268" s="40"/>
      <c r="C268" s="40"/>
      <c r="D268" s="40"/>
      <c r="E268" s="40"/>
      <c r="F268" s="40"/>
      <c r="G268" s="40"/>
      <c r="H268" s="40"/>
      <c r="K268" s="763"/>
      <c r="L268" s="763"/>
      <c r="M268" s="763"/>
    </row>
    <row r="269" spans="2:20" ht="15.75" customHeight="1" x14ac:dyDescent="0.25">
      <c r="B269" s="832" t="s">
        <v>802</v>
      </c>
      <c r="C269" s="832"/>
      <c r="D269" s="832"/>
      <c r="E269" s="832"/>
      <c r="F269" s="832"/>
      <c r="G269" s="69"/>
      <c r="H269" s="40"/>
      <c r="I269" s="426"/>
    </row>
    <row r="270" spans="2:20" ht="31.5" x14ac:dyDescent="0.25">
      <c r="B270" s="828" t="s">
        <v>2</v>
      </c>
      <c r="C270" s="828"/>
      <c r="D270" s="201" t="s">
        <v>250</v>
      </c>
      <c r="E270" s="201" t="s">
        <v>782</v>
      </c>
      <c r="F270" s="828" t="s">
        <v>783</v>
      </c>
      <c r="G270" s="828"/>
      <c r="H270" s="778" t="s">
        <v>784</v>
      </c>
      <c r="I270" s="778"/>
    </row>
    <row r="271" spans="2:20" ht="15.75" customHeight="1" thickBot="1" x14ac:dyDescent="0.3">
      <c r="B271" s="1086" t="s">
        <v>7</v>
      </c>
      <c r="C271" s="1086"/>
      <c r="D271" s="166" t="s">
        <v>513</v>
      </c>
      <c r="E271" s="529">
        <v>10.5</v>
      </c>
      <c r="F271" s="1014">
        <v>83.5</v>
      </c>
      <c r="G271" s="1014"/>
      <c r="H271" s="1014">
        <v>7.9523809523809526</v>
      </c>
      <c r="I271" s="1014"/>
      <c r="P271" s="16"/>
    </row>
    <row r="272" spans="2:20" ht="15.75" customHeight="1" thickBot="1" x14ac:dyDescent="0.3">
      <c r="B272" s="1087"/>
      <c r="C272" s="1087"/>
      <c r="D272" s="421" t="s">
        <v>635</v>
      </c>
      <c r="E272" s="422">
        <v>10.25</v>
      </c>
      <c r="F272" s="1015">
        <v>110.5</v>
      </c>
      <c r="G272" s="1015"/>
      <c r="H272" s="1015">
        <v>10.78</v>
      </c>
      <c r="I272" s="1015"/>
    </row>
    <row r="273" spans="2:30" ht="15.75" customHeight="1" thickBot="1" x14ac:dyDescent="0.3">
      <c r="B273" s="1087"/>
      <c r="C273" s="1087"/>
      <c r="D273" s="421" t="s">
        <v>892</v>
      </c>
      <c r="E273" s="422">
        <v>10.25</v>
      </c>
      <c r="F273" s="1015">
        <v>110.5</v>
      </c>
      <c r="G273" s="1015"/>
      <c r="H273" s="1015">
        <v>10.78</v>
      </c>
      <c r="I273" s="1015"/>
    </row>
    <row r="274" spans="2:30" ht="15.75" customHeight="1" thickBot="1" x14ac:dyDescent="0.3">
      <c r="B274" s="1087"/>
      <c r="C274" s="1087"/>
      <c r="D274" s="421" t="s">
        <v>955</v>
      </c>
      <c r="E274" s="422">
        <v>11.75</v>
      </c>
      <c r="F274" s="1015">
        <v>149.69999999999999</v>
      </c>
      <c r="G274" s="1015"/>
      <c r="H274" s="1015">
        <v>12.74</v>
      </c>
      <c r="I274" s="1015"/>
    </row>
    <row r="275" spans="2:30" ht="15.75" customHeight="1" thickBot="1" x14ac:dyDescent="0.3">
      <c r="B275" s="1087"/>
      <c r="C275" s="1087"/>
      <c r="D275" s="421" t="s">
        <v>1127</v>
      </c>
      <c r="E275" s="422">
        <v>12.25</v>
      </c>
      <c r="F275" s="1015">
        <v>154.4</v>
      </c>
      <c r="G275" s="1015"/>
      <c r="H275" s="1015">
        <v>12.6040816326531</v>
      </c>
      <c r="I275" s="1015"/>
    </row>
    <row r="276" spans="2:30" ht="15.75" customHeight="1" thickBot="1" x14ac:dyDescent="0.3">
      <c r="B276" s="1052"/>
      <c r="C276" s="1052"/>
      <c r="D276" s="28" t="s">
        <v>1231</v>
      </c>
      <c r="E276" s="180">
        <v>12.5</v>
      </c>
      <c r="F276" s="1048">
        <v>154.69999999999999</v>
      </c>
      <c r="G276" s="1048"/>
      <c r="H276" s="1048">
        <v>12.375999999999999</v>
      </c>
      <c r="I276" s="1048"/>
    </row>
    <row r="277" spans="2:30" ht="15.75" customHeight="1" thickBot="1" x14ac:dyDescent="0.3">
      <c r="B277" s="1086" t="s">
        <v>8</v>
      </c>
      <c r="C277" s="1086"/>
      <c r="D277" s="166" t="s">
        <v>513</v>
      </c>
      <c r="E277" s="529">
        <v>11.625</v>
      </c>
      <c r="F277" s="1012">
        <v>228.61666666666667</v>
      </c>
      <c r="G277" s="1012"/>
      <c r="H277" s="1012">
        <v>19.666236559139787</v>
      </c>
      <c r="I277" s="1012"/>
      <c r="S277" s="440"/>
      <c r="T277" s="440"/>
    </row>
    <row r="278" spans="2:30" ht="15.75" customHeight="1" thickBot="1" x14ac:dyDescent="0.3">
      <c r="B278" s="1087"/>
      <c r="C278" s="1087"/>
      <c r="D278" s="421" t="s">
        <v>635</v>
      </c>
      <c r="E278" s="422">
        <v>11.5</v>
      </c>
      <c r="F278" s="1015">
        <v>226.37</v>
      </c>
      <c r="G278" s="1015"/>
      <c r="H278" s="1015">
        <v>19.684347826086956</v>
      </c>
      <c r="I278" s="1015"/>
      <c r="S278" s="440"/>
      <c r="T278" s="440"/>
      <c r="V278" s="205"/>
      <c r="W278" s="205"/>
      <c r="X278" s="205"/>
      <c r="Y278" s="206"/>
      <c r="AA278" s="488"/>
      <c r="AB278" s="488"/>
      <c r="AC278" s="488"/>
      <c r="AD278" s="488"/>
    </row>
    <row r="279" spans="2:30" ht="15.75" customHeight="1" thickBot="1" x14ac:dyDescent="0.3">
      <c r="B279" s="1087"/>
      <c r="C279" s="1087"/>
      <c r="D279" s="421" t="s">
        <v>892</v>
      </c>
      <c r="E279" s="422">
        <v>11.63</v>
      </c>
      <c r="F279" s="1015">
        <v>229.1</v>
      </c>
      <c r="G279" s="1015"/>
      <c r="H279" s="1015">
        <v>19.71</v>
      </c>
      <c r="I279" s="1015"/>
      <c r="S279" s="205"/>
      <c r="T279" s="205"/>
      <c r="V279" s="562"/>
      <c r="W279" s="562"/>
      <c r="X279" s="562"/>
      <c r="Y279" s="563"/>
      <c r="AA279" s="488"/>
      <c r="AB279" s="488"/>
      <c r="AC279" s="488"/>
      <c r="AD279" s="488"/>
    </row>
    <row r="280" spans="2:30" ht="15.75" customHeight="1" thickBot="1" x14ac:dyDescent="0.3">
      <c r="B280" s="1087"/>
      <c r="C280" s="1087"/>
      <c r="D280" s="421" t="s">
        <v>955</v>
      </c>
      <c r="E280" s="422">
        <v>12.21</v>
      </c>
      <c r="F280" s="1015">
        <v>232.35</v>
      </c>
      <c r="G280" s="1015"/>
      <c r="H280" s="1015">
        <v>19.03</v>
      </c>
      <c r="I280" s="1015"/>
      <c r="S280" s="563"/>
      <c r="T280" s="563"/>
      <c r="V280" s="562"/>
      <c r="W280" s="562"/>
      <c r="X280" s="562"/>
      <c r="Y280" s="563"/>
      <c r="AA280" s="488"/>
      <c r="AB280" s="488"/>
      <c r="AC280" s="488"/>
      <c r="AD280" s="488"/>
    </row>
    <row r="281" spans="2:30" ht="15.75" customHeight="1" thickBot="1" x14ac:dyDescent="0.3">
      <c r="B281" s="1087"/>
      <c r="C281" s="1087"/>
      <c r="D281" s="421" t="s">
        <v>1127</v>
      </c>
      <c r="E281" s="422">
        <v>12.583333333333334</v>
      </c>
      <c r="F281" s="1015">
        <v>242.93333333333334</v>
      </c>
      <c r="G281" s="1015"/>
      <c r="H281" s="1015">
        <v>19.305960264900662</v>
      </c>
      <c r="I281" s="1015"/>
      <c r="S281" s="563"/>
      <c r="T281" s="563"/>
      <c r="V281" s="562"/>
      <c r="W281" s="562"/>
      <c r="X281" s="562"/>
      <c r="Y281" s="563"/>
      <c r="AA281" s="488"/>
      <c r="AB281" s="488"/>
      <c r="AC281" s="488"/>
      <c r="AD281" s="488"/>
    </row>
    <row r="282" spans="2:30" ht="15.75" customHeight="1" thickBot="1" x14ac:dyDescent="0.3">
      <c r="B282" s="1052"/>
      <c r="C282" s="1052"/>
      <c r="D282" s="28" t="s">
        <v>1231</v>
      </c>
      <c r="E282" s="180">
        <v>15.458333333333334</v>
      </c>
      <c r="F282" s="1048">
        <v>268.81666666666666</v>
      </c>
      <c r="G282" s="1048"/>
      <c r="H282" s="1048">
        <v>17.389757412398922</v>
      </c>
      <c r="I282" s="1048"/>
      <c r="S282" s="563"/>
      <c r="T282" s="563"/>
      <c r="AA282" s="488"/>
      <c r="AB282" s="488"/>
      <c r="AC282" s="488"/>
      <c r="AD282" s="488"/>
    </row>
    <row r="283" spans="2:30" ht="15.75" customHeight="1" x14ac:dyDescent="0.25">
      <c r="B283" s="1027" t="s">
        <v>1922</v>
      </c>
      <c r="C283" s="1027"/>
      <c r="R283" s="277"/>
      <c r="S283" s="277"/>
      <c r="T283" s="277"/>
      <c r="V283" s="562"/>
      <c r="W283" s="562"/>
      <c r="Y283" s="563"/>
      <c r="AA283" s="488"/>
      <c r="AB283" s="488"/>
      <c r="AC283" s="488"/>
      <c r="AD283" s="488"/>
    </row>
    <row r="284" spans="2:30" ht="15.75" customHeight="1" x14ac:dyDescent="0.25">
      <c r="B284" s="44" t="s">
        <v>67</v>
      </c>
      <c r="C284" s="44"/>
      <c r="D284" s="44"/>
      <c r="AA284" s="488"/>
      <c r="AB284" s="488"/>
      <c r="AC284" s="488"/>
      <c r="AD284" s="488"/>
    </row>
    <row r="285" spans="2:30" ht="17.25" customHeight="1" x14ac:dyDescent="0.25">
      <c r="B285" s="39"/>
      <c r="H285" s="40"/>
      <c r="AA285" s="488"/>
      <c r="AB285" s="488"/>
      <c r="AC285" s="488"/>
      <c r="AD285" s="488"/>
    </row>
    <row r="286" spans="2:30" ht="15.75" customHeight="1" x14ac:dyDescent="0.25">
      <c r="B286" s="37"/>
      <c r="H286" s="40"/>
      <c r="AA286" s="488"/>
      <c r="AB286" s="488"/>
      <c r="AC286" s="488"/>
      <c r="AD286" s="488"/>
    </row>
    <row r="287" spans="2:30" x14ac:dyDescent="0.25">
      <c r="B287" s="5" t="s">
        <v>1252</v>
      </c>
      <c r="E287" s="48"/>
      <c r="F287" s="48"/>
      <c r="G287" s="48"/>
      <c r="H287" s="40"/>
      <c r="I287" s="43"/>
      <c r="M287" s="48"/>
    </row>
    <row r="288" spans="2:30" ht="15" customHeight="1" x14ac:dyDescent="0.25">
      <c r="B288" s="778" t="s">
        <v>990</v>
      </c>
      <c r="C288" s="778"/>
      <c r="D288" s="778"/>
      <c r="E288" s="778" t="s">
        <v>7</v>
      </c>
      <c r="F288" s="778"/>
      <c r="G288" s="778"/>
      <c r="H288" s="778"/>
      <c r="I288" s="778" t="s">
        <v>8</v>
      </c>
      <c r="J288" s="778"/>
      <c r="K288" s="778"/>
      <c r="L288" s="778"/>
      <c r="M288" s="778" t="s">
        <v>993</v>
      </c>
      <c r="N288" s="778"/>
      <c r="O288" s="778"/>
      <c r="P288" s="778"/>
    </row>
    <row r="289" spans="2:27" ht="15.75" customHeight="1" x14ac:dyDescent="0.25">
      <c r="B289" s="778"/>
      <c r="C289" s="778"/>
      <c r="D289" s="778"/>
      <c r="E289" s="200" t="s">
        <v>826</v>
      </c>
      <c r="F289" s="200" t="s">
        <v>827</v>
      </c>
      <c r="G289" s="200" t="s">
        <v>970</v>
      </c>
      <c r="H289" s="416" t="s">
        <v>985</v>
      </c>
      <c r="I289" s="200" t="s">
        <v>826</v>
      </c>
      <c r="J289" s="200" t="s">
        <v>827</v>
      </c>
      <c r="K289" s="200" t="s">
        <v>970</v>
      </c>
      <c r="L289" s="416" t="s">
        <v>985</v>
      </c>
      <c r="M289" s="200" t="s">
        <v>826</v>
      </c>
      <c r="N289" s="200" t="s">
        <v>827</v>
      </c>
      <c r="O289" s="200" t="s">
        <v>970</v>
      </c>
      <c r="P289" s="200" t="s">
        <v>985</v>
      </c>
    </row>
    <row r="290" spans="2:27" ht="27" customHeight="1" thickBot="1" x14ac:dyDescent="0.3">
      <c r="B290" s="1030" t="s">
        <v>991</v>
      </c>
      <c r="C290" s="1030"/>
      <c r="D290" s="1030"/>
      <c r="E290" s="520" t="s">
        <v>1260</v>
      </c>
      <c r="F290" s="520" t="s">
        <v>1256</v>
      </c>
      <c r="G290" s="520" t="s">
        <v>428</v>
      </c>
      <c r="H290" s="601" t="s">
        <v>1259</v>
      </c>
      <c r="I290" s="520" t="s">
        <v>1254</v>
      </c>
      <c r="J290" s="520" t="s">
        <v>1255</v>
      </c>
      <c r="K290" s="520" t="s">
        <v>428</v>
      </c>
      <c r="L290" s="601" t="s">
        <v>1253</v>
      </c>
      <c r="M290" s="520" t="s">
        <v>428</v>
      </c>
      <c r="N290" s="520" t="s">
        <v>1257</v>
      </c>
      <c r="O290" s="520" t="s">
        <v>51</v>
      </c>
      <c r="P290" s="602" t="s">
        <v>1256</v>
      </c>
    </row>
    <row r="291" spans="2:27" ht="21" customHeight="1" thickBot="1" x14ac:dyDescent="0.3">
      <c r="B291" s="1030" t="s">
        <v>289</v>
      </c>
      <c r="C291" s="1030"/>
      <c r="D291" s="1030"/>
      <c r="E291" s="480">
        <v>7.94</v>
      </c>
      <c r="F291" s="480">
        <v>7.98</v>
      </c>
      <c r="G291" s="210" t="s">
        <v>51</v>
      </c>
      <c r="H291" s="481">
        <v>7.97</v>
      </c>
      <c r="I291" s="480">
        <v>8.6999999999999993</v>
      </c>
      <c r="J291" s="480">
        <v>8.68</v>
      </c>
      <c r="K291" s="210">
        <v>8.86</v>
      </c>
      <c r="L291" s="481">
        <v>8.69</v>
      </c>
      <c r="M291" s="480">
        <v>9.4700000000000006</v>
      </c>
      <c r="N291" s="480">
        <v>8.6</v>
      </c>
      <c r="O291" s="480" t="s">
        <v>51</v>
      </c>
      <c r="P291" s="482">
        <v>8.9700000000000006</v>
      </c>
    </row>
    <row r="292" spans="2:27" ht="26.25" customHeight="1" thickBot="1" x14ac:dyDescent="0.3">
      <c r="B292" s="1085" t="s">
        <v>290</v>
      </c>
      <c r="C292" s="1085"/>
      <c r="D292" s="1085"/>
      <c r="E292" s="480">
        <v>8.52</v>
      </c>
      <c r="F292" s="480">
        <v>8.35</v>
      </c>
      <c r="G292" s="480" t="s">
        <v>51</v>
      </c>
      <c r="H292" s="481">
        <v>8.39</v>
      </c>
      <c r="I292" s="483">
        <v>8.77</v>
      </c>
      <c r="J292" s="483">
        <v>8.6199999999999992</v>
      </c>
      <c r="K292" s="480">
        <v>9</v>
      </c>
      <c r="L292" s="481">
        <v>8.6999999999999993</v>
      </c>
      <c r="M292" s="483">
        <v>9.73</v>
      </c>
      <c r="N292" s="483">
        <v>8.9</v>
      </c>
      <c r="O292" s="480" t="s">
        <v>1258</v>
      </c>
      <c r="P292" s="482">
        <v>9.2899999999999991</v>
      </c>
    </row>
    <row r="293" spans="2:27" ht="24.75" customHeight="1" thickBot="1" x14ac:dyDescent="0.3">
      <c r="B293" s="1084" t="s">
        <v>992</v>
      </c>
      <c r="C293" s="1084"/>
      <c r="D293" s="1084"/>
      <c r="E293" s="484">
        <v>7.81</v>
      </c>
      <c r="F293" s="484">
        <v>7.79</v>
      </c>
      <c r="G293" s="484" t="s">
        <v>51</v>
      </c>
      <c r="H293" s="485">
        <v>7.79</v>
      </c>
      <c r="I293" s="486">
        <v>8.84</v>
      </c>
      <c r="J293" s="484">
        <v>8.7899999999999991</v>
      </c>
      <c r="K293" s="487">
        <v>9</v>
      </c>
      <c r="L293" s="485">
        <v>8.6199999999999992</v>
      </c>
      <c r="M293" s="486">
        <v>9.8000000000000007</v>
      </c>
      <c r="N293" s="484">
        <v>8.68</v>
      </c>
      <c r="O293" s="484" t="s">
        <v>51</v>
      </c>
      <c r="P293" s="485">
        <v>9.15</v>
      </c>
      <c r="S293" s="23"/>
      <c r="T293" s="23"/>
      <c r="U293" s="23"/>
      <c r="V293" s="205"/>
      <c r="W293" s="563"/>
      <c r="X293" s="562"/>
      <c r="Y293" s="562"/>
      <c r="Z293" s="562"/>
      <c r="AA293" s="563"/>
    </row>
    <row r="294" spans="2:27" ht="15.75" customHeight="1" x14ac:dyDescent="0.25">
      <c r="B294" s="1027" t="s">
        <v>1922</v>
      </c>
      <c r="C294" s="1027"/>
    </row>
    <row r="295" spans="2:27" ht="15.75" customHeight="1" x14ac:dyDescent="0.25">
      <c r="B295" s="44" t="s">
        <v>67</v>
      </c>
      <c r="C295" s="44"/>
      <c r="D295" s="44"/>
    </row>
    <row r="296" spans="2:27" ht="15.75" customHeight="1" x14ac:dyDescent="0.25">
      <c r="B296" s="44"/>
      <c r="C296" s="44"/>
      <c r="D296" s="44"/>
    </row>
    <row r="298" spans="2:27" ht="15.75" customHeight="1" x14ac:dyDescent="0.25">
      <c r="B298" s="5" t="s">
        <v>803</v>
      </c>
      <c r="C298" s="5"/>
      <c r="D298" s="5"/>
      <c r="E298" s="5"/>
      <c r="F298" s="5"/>
      <c r="G298" s="5"/>
    </row>
    <row r="299" spans="2:27" ht="15.75" customHeight="1" x14ac:dyDescent="0.25">
      <c r="B299" s="777" t="s">
        <v>2</v>
      </c>
      <c r="C299" s="777"/>
      <c r="D299" s="777" t="s">
        <v>292</v>
      </c>
      <c r="E299" s="777"/>
      <c r="F299" s="200" t="s">
        <v>5</v>
      </c>
      <c r="G299" s="200" t="s">
        <v>6</v>
      </c>
      <c r="H299" s="200" t="s">
        <v>888</v>
      </c>
      <c r="I299" s="200" t="s">
        <v>953</v>
      </c>
      <c r="J299" s="200" t="s">
        <v>1125</v>
      </c>
      <c r="K299" s="200" t="s">
        <v>1229</v>
      </c>
    </row>
    <row r="300" spans="2:27" ht="15" customHeight="1" x14ac:dyDescent="0.25">
      <c r="B300" s="778"/>
      <c r="C300" s="778"/>
      <c r="D300" s="778"/>
      <c r="E300" s="778"/>
      <c r="F300" s="1051" t="s">
        <v>1129</v>
      </c>
      <c r="G300" s="1051"/>
      <c r="H300" s="1114"/>
      <c r="I300" s="1050" t="s">
        <v>994</v>
      </c>
      <c r="J300" s="1051"/>
      <c r="K300" s="1051"/>
    </row>
    <row r="301" spans="2:27" ht="21" customHeight="1" thickBot="1" x14ac:dyDescent="0.3">
      <c r="B301" s="1049" t="s">
        <v>7</v>
      </c>
      <c r="C301" s="1049"/>
      <c r="D301" s="1053" t="s">
        <v>291</v>
      </c>
      <c r="E301" s="1053"/>
      <c r="F301" s="418">
        <v>5.51</v>
      </c>
      <c r="G301" s="418">
        <v>5.27</v>
      </c>
      <c r="H301" s="415">
        <v>5.54</v>
      </c>
      <c r="I301" s="415">
        <v>7.8</v>
      </c>
      <c r="J301" s="520">
        <v>8</v>
      </c>
      <c r="K301" s="520">
        <v>8.0500000000000007</v>
      </c>
      <c r="L301" s="205"/>
    </row>
    <row r="302" spans="2:27" ht="21" customHeight="1" thickBot="1" x14ac:dyDescent="0.3">
      <c r="B302" s="417" t="s">
        <v>8</v>
      </c>
      <c r="C302" s="417"/>
      <c r="D302" s="1054"/>
      <c r="E302" s="1054"/>
      <c r="F302" s="414">
        <v>5.84</v>
      </c>
      <c r="G302" s="414">
        <v>5.78</v>
      </c>
      <c r="H302" s="210">
        <v>5.96</v>
      </c>
      <c r="I302" s="210">
        <v>8.6</v>
      </c>
      <c r="J302" s="521">
        <v>8.5</v>
      </c>
      <c r="K302" s="521">
        <v>8.6999999999999993</v>
      </c>
      <c r="L302" s="205"/>
    </row>
    <row r="303" spans="2:27" ht="15.75" customHeight="1" thickBot="1" x14ac:dyDescent="0.3">
      <c r="B303" s="1052" t="s">
        <v>9</v>
      </c>
      <c r="C303" s="1052"/>
      <c r="D303" s="1055"/>
      <c r="E303" s="1055"/>
      <c r="F303" s="419" t="s">
        <v>51</v>
      </c>
      <c r="G303" s="419" t="s">
        <v>51</v>
      </c>
      <c r="H303" s="420" t="s">
        <v>51</v>
      </c>
      <c r="I303" s="420">
        <v>8.8000000000000007</v>
      </c>
      <c r="J303" s="522">
        <v>8.6</v>
      </c>
      <c r="K303" s="522">
        <v>9.14</v>
      </c>
      <c r="L303" s="205"/>
    </row>
    <row r="304" spans="2:27" ht="15.75" customHeight="1" x14ac:dyDescent="0.25">
      <c r="B304" s="1027" t="s">
        <v>1922</v>
      </c>
      <c r="C304" s="1027"/>
    </row>
    <row r="305" spans="1:11" ht="15.75" customHeight="1" x14ac:dyDescent="0.25">
      <c r="B305" s="44" t="s">
        <v>67</v>
      </c>
    </row>
    <row r="306" spans="1:11" ht="15.75" customHeight="1" x14ac:dyDescent="0.25">
      <c r="B306" s="44"/>
      <c r="C306" s="44"/>
      <c r="D306" s="44"/>
      <c r="E306" s="44"/>
      <c r="F306" s="44"/>
    </row>
    <row r="307" spans="1:11" ht="15.75" customHeight="1" x14ac:dyDescent="0.25">
      <c r="B307" s="44"/>
      <c r="C307" s="44"/>
      <c r="D307" s="44"/>
      <c r="E307" s="44"/>
      <c r="F307" s="44"/>
    </row>
    <row r="308" spans="1:11" ht="15.75" customHeight="1" x14ac:dyDescent="0.25">
      <c r="B308" s="159" t="s">
        <v>293</v>
      </c>
      <c r="C308" s="44"/>
      <c r="D308" s="44"/>
      <c r="E308" s="44"/>
      <c r="F308" s="44"/>
    </row>
    <row r="309" spans="1:11" ht="15.75" customHeight="1" x14ac:dyDescent="0.25">
      <c r="B309" s="45"/>
      <c r="C309" s="44"/>
      <c r="D309" s="44"/>
      <c r="E309" s="44"/>
      <c r="F309" s="44"/>
    </row>
    <row r="310" spans="1:11" ht="15.75" customHeight="1" x14ac:dyDescent="0.25">
      <c r="B310" s="5" t="s">
        <v>832</v>
      </c>
      <c r="H310" s="48"/>
      <c r="I310" s="48"/>
      <c r="J310" s="48"/>
    </row>
    <row r="311" spans="1:11" ht="15" customHeight="1" x14ac:dyDescent="0.25">
      <c r="A311" s="48"/>
      <c r="B311" s="777" t="s">
        <v>294</v>
      </c>
      <c r="C311" s="777" t="s">
        <v>295</v>
      </c>
      <c r="D311" s="777"/>
      <c r="E311" s="777"/>
      <c r="F311" s="777" t="s">
        <v>296</v>
      </c>
      <c r="G311" s="777" t="s">
        <v>297</v>
      </c>
      <c r="H311" s="777" t="s">
        <v>298</v>
      </c>
      <c r="I311" s="777" t="s">
        <v>881</v>
      </c>
      <c r="J311" s="777"/>
    </row>
    <row r="312" spans="1:11" ht="15" customHeight="1" x14ac:dyDescent="0.25">
      <c r="B312" s="778"/>
      <c r="C312" s="778"/>
      <c r="D312" s="778"/>
      <c r="E312" s="778"/>
      <c r="F312" s="778"/>
      <c r="G312" s="778"/>
      <c r="H312" s="778"/>
      <c r="I312" s="778"/>
      <c r="J312" s="778"/>
    </row>
    <row r="313" spans="1:11" ht="26.25" customHeight="1" thickBot="1" x14ac:dyDescent="0.3">
      <c r="B313" s="415" t="s">
        <v>51</v>
      </c>
      <c r="C313" s="1029" t="s">
        <v>51</v>
      </c>
      <c r="D313" s="1029"/>
      <c r="E313" s="1029"/>
      <c r="F313" s="415" t="s">
        <v>51</v>
      </c>
      <c r="G313" s="415" t="s">
        <v>51</v>
      </c>
      <c r="H313" s="415" t="s">
        <v>51</v>
      </c>
      <c r="I313" s="1029" t="s">
        <v>51</v>
      </c>
      <c r="J313" s="1029"/>
      <c r="K313" s="48"/>
    </row>
    <row r="314" spans="1:11" ht="29.25" customHeight="1" thickBot="1" x14ac:dyDescent="0.3">
      <c r="B314" s="210" t="s">
        <v>51</v>
      </c>
      <c r="C314" s="893" t="s">
        <v>51</v>
      </c>
      <c r="D314" s="893"/>
      <c r="E314" s="893"/>
      <c r="F314" s="415" t="s">
        <v>51</v>
      </c>
      <c r="G314" s="415" t="s">
        <v>51</v>
      </c>
      <c r="H314" s="415" t="s">
        <v>51</v>
      </c>
      <c r="I314" s="893" t="s">
        <v>51</v>
      </c>
      <c r="J314" s="893"/>
    </row>
    <row r="315" spans="1:11" ht="29.25" customHeight="1" thickBot="1" x14ac:dyDescent="0.3">
      <c r="B315" s="420" t="s">
        <v>51</v>
      </c>
      <c r="C315" s="1046" t="s">
        <v>51</v>
      </c>
      <c r="D315" s="1046"/>
      <c r="E315" s="1046"/>
      <c r="F315" s="420" t="s">
        <v>51</v>
      </c>
      <c r="G315" s="420" t="s">
        <v>51</v>
      </c>
      <c r="H315" s="420" t="s">
        <v>51</v>
      </c>
      <c r="I315" s="1046" t="s">
        <v>51</v>
      </c>
      <c r="J315" s="1046"/>
    </row>
    <row r="316" spans="1:11" x14ac:dyDescent="0.25">
      <c r="B316" s="1027" t="s">
        <v>1922</v>
      </c>
      <c r="C316" s="1027"/>
      <c r="D316" s="46"/>
      <c r="E316" s="47"/>
      <c r="F316" s="47"/>
      <c r="G316" s="47"/>
    </row>
    <row r="317" spans="1:11" ht="15.75" customHeight="1" x14ac:dyDescent="0.25">
      <c r="B317" s="44" t="s">
        <v>67</v>
      </c>
    </row>
    <row r="318" spans="1:11" ht="15.75" customHeight="1" x14ac:dyDescent="0.25">
      <c r="B318" s="44"/>
    </row>
    <row r="319" spans="1:11" ht="15.75" customHeight="1" x14ac:dyDescent="0.25">
      <c r="H319" s="5"/>
    </row>
    <row r="320" spans="1:11" ht="15.75" customHeight="1" x14ac:dyDescent="0.25">
      <c r="B320" s="1028" t="s">
        <v>804</v>
      </c>
      <c r="C320" s="1028"/>
      <c r="D320" s="1028"/>
      <c r="E320" s="1028"/>
      <c r="F320" s="1028"/>
      <c r="G320" s="1028"/>
      <c r="H320" s="48"/>
    </row>
    <row r="321" spans="2:10" ht="15" customHeight="1" x14ac:dyDescent="0.25">
      <c r="B321" s="200" t="s">
        <v>299</v>
      </c>
      <c r="C321" s="777" t="s">
        <v>300</v>
      </c>
      <c r="D321" s="777"/>
      <c r="E321" s="200" t="s">
        <v>301</v>
      </c>
      <c r="F321" s="200" t="s">
        <v>302</v>
      </c>
      <c r="G321" s="777" t="s">
        <v>303</v>
      </c>
      <c r="H321" s="777"/>
      <c r="I321" s="777" t="s">
        <v>304</v>
      </c>
      <c r="J321" s="777"/>
    </row>
    <row r="322" spans="2:10" ht="15.75" customHeight="1" thickBot="1" x14ac:dyDescent="0.3">
      <c r="B322" s="415" t="s">
        <v>51</v>
      </c>
      <c r="C322" s="415" t="s">
        <v>51</v>
      </c>
      <c r="D322" s="415" t="s">
        <v>51</v>
      </c>
      <c r="E322" s="415" t="s">
        <v>51</v>
      </c>
      <c r="F322" s="415" t="s">
        <v>51</v>
      </c>
      <c r="G322" s="1029" t="s">
        <v>51</v>
      </c>
      <c r="H322" s="1029"/>
      <c r="I322" s="1029" t="s">
        <v>51</v>
      </c>
      <c r="J322" s="1029"/>
    </row>
    <row r="323" spans="2:10" ht="15.75" customHeight="1" x14ac:dyDescent="0.25">
      <c r="B323" s="1027" t="s">
        <v>1922</v>
      </c>
      <c r="C323" s="1027"/>
      <c r="D323" s="47"/>
      <c r="E323" s="47"/>
      <c r="F323" s="47"/>
      <c r="G323" s="46"/>
    </row>
    <row r="324" spans="2:10" ht="15.75" customHeight="1" x14ac:dyDescent="0.25">
      <c r="B324" s="44" t="s">
        <v>67</v>
      </c>
      <c r="C324" s="46"/>
      <c r="D324" s="47"/>
      <c r="E324" s="47"/>
      <c r="F324" s="47"/>
      <c r="G324" s="46"/>
    </row>
    <row r="325" spans="2:10" ht="15.75" customHeight="1" x14ac:dyDescent="0.25">
      <c r="B325" s="44"/>
      <c r="C325" s="46"/>
      <c r="D325" s="47"/>
      <c r="E325" s="47"/>
      <c r="F325" s="47"/>
      <c r="G325" s="46"/>
    </row>
    <row r="326" spans="2:10" ht="15.75" customHeight="1" x14ac:dyDescent="0.25">
      <c r="B326" s="44"/>
    </row>
    <row r="327" spans="2:10" ht="15.75" customHeight="1" x14ac:dyDescent="0.25">
      <c r="B327" s="5" t="s">
        <v>805</v>
      </c>
      <c r="C327" s="5"/>
      <c r="D327" s="5"/>
      <c r="E327" s="5"/>
      <c r="F327" s="5"/>
      <c r="G327" s="5"/>
      <c r="H327" s="48"/>
    </row>
    <row r="328" spans="2:10" ht="15.75" customHeight="1" x14ac:dyDescent="0.25">
      <c r="B328" s="200" t="s">
        <v>305</v>
      </c>
      <c r="C328" s="200" t="s">
        <v>301</v>
      </c>
      <c r="D328" s="200" t="s">
        <v>302</v>
      </c>
      <c r="E328" s="777" t="s">
        <v>306</v>
      </c>
      <c r="F328" s="777"/>
      <c r="G328" s="777" t="s">
        <v>307</v>
      </c>
      <c r="H328" s="777"/>
      <c r="I328" s="777" t="s">
        <v>308</v>
      </c>
      <c r="J328" s="777"/>
    </row>
    <row r="329" spans="2:10" ht="15.75" customHeight="1" thickBot="1" x14ac:dyDescent="0.3">
      <c r="B329" s="415" t="s">
        <v>51</v>
      </c>
      <c r="C329" s="415" t="s">
        <v>51</v>
      </c>
      <c r="D329" s="415" t="s">
        <v>51</v>
      </c>
      <c r="E329" s="415" t="s">
        <v>51</v>
      </c>
      <c r="F329" s="415" t="s">
        <v>51</v>
      </c>
      <c r="G329" s="1029" t="s">
        <v>51</v>
      </c>
      <c r="H329" s="1029"/>
      <c r="I329" s="1029" t="s">
        <v>51</v>
      </c>
      <c r="J329" s="1029"/>
    </row>
    <row r="330" spans="2:10" ht="15.75" customHeight="1" x14ac:dyDescent="0.25">
      <c r="B330" s="1027" t="s">
        <v>1922</v>
      </c>
      <c r="C330" s="1027"/>
      <c r="D330" s="47"/>
      <c r="E330" s="47"/>
      <c r="F330" s="46"/>
      <c r="G330" s="68"/>
    </row>
    <row r="331" spans="2:10" x14ac:dyDescent="0.25">
      <c r="B331" s="44" t="s">
        <v>67</v>
      </c>
      <c r="C331" s="44"/>
    </row>
  </sheetData>
  <mergeCells count="974">
    <mergeCell ref="L150:M150"/>
    <mergeCell ref="N150:O150"/>
    <mergeCell ref="L151:M151"/>
    <mergeCell ref="N151:O151"/>
    <mergeCell ref="N146:O146"/>
    <mergeCell ref="L147:M147"/>
    <mergeCell ref="N147:O147"/>
    <mergeCell ref="R148:R149"/>
    <mergeCell ref="B150:C150"/>
    <mergeCell ref="D150:F150"/>
    <mergeCell ref="H150:I150"/>
    <mergeCell ref="B151:C155"/>
    <mergeCell ref="D151:F155"/>
    <mergeCell ref="G151:G155"/>
    <mergeCell ref="H151:I155"/>
    <mergeCell ref="J151:J155"/>
    <mergeCell ref="K151:K155"/>
    <mergeCell ref="R151:R155"/>
    <mergeCell ref="L152:M152"/>
    <mergeCell ref="L154:M154"/>
    <mergeCell ref="N154:O154"/>
    <mergeCell ref="L155:M155"/>
    <mergeCell ref="N155:O155"/>
    <mergeCell ref="N152:O152"/>
    <mergeCell ref="L153:M153"/>
    <mergeCell ref="N153:O153"/>
    <mergeCell ref="H148:I149"/>
    <mergeCell ref="L148:M148"/>
    <mergeCell ref="N148:O148"/>
    <mergeCell ref="L149:M149"/>
    <mergeCell ref="N149:O149"/>
    <mergeCell ref="H144:I144"/>
    <mergeCell ref="B145:C145"/>
    <mergeCell ref="D145:F145"/>
    <mergeCell ref="H145:I145"/>
    <mergeCell ref="B146:C146"/>
    <mergeCell ref="D146:F146"/>
    <mergeCell ref="H146:I146"/>
    <mergeCell ref="J148:J149"/>
    <mergeCell ref="K148:K149"/>
    <mergeCell ref="S100:T100"/>
    <mergeCell ref="R141:R142"/>
    <mergeCell ref="B143:C143"/>
    <mergeCell ref="L141:M141"/>
    <mergeCell ref="N141:O141"/>
    <mergeCell ref="L142:M142"/>
    <mergeCell ref="N142:O142"/>
    <mergeCell ref="D137:F137"/>
    <mergeCell ref="H137:I137"/>
    <mergeCell ref="L137:M137"/>
    <mergeCell ref="N137:O137"/>
    <mergeCell ref="B140:C140"/>
    <mergeCell ref="D140:F140"/>
    <mergeCell ref="H140:I140"/>
    <mergeCell ref="L140:M140"/>
    <mergeCell ref="N140:O140"/>
    <mergeCell ref="D143:F143"/>
    <mergeCell ref="B131:C131"/>
    <mergeCell ref="D131:F131"/>
    <mergeCell ref="H131:I131"/>
    <mergeCell ref="L131:M131"/>
    <mergeCell ref="N131:O131"/>
    <mergeCell ref="L132:M132"/>
    <mergeCell ref="N132:O132"/>
    <mergeCell ref="N127:O127"/>
    <mergeCell ref="L128:M128"/>
    <mergeCell ref="N128:O128"/>
    <mergeCell ref="B123:C123"/>
    <mergeCell ref="D123:F123"/>
    <mergeCell ref="H123:I123"/>
    <mergeCell ref="L123:M123"/>
    <mergeCell ref="N123:O123"/>
    <mergeCell ref="B124:C126"/>
    <mergeCell ref="D124:F126"/>
    <mergeCell ref="G124:G126"/>
    <mergeCell ref="H124:I126"/>
    <mergeCell ref="J124:J126"/>
    <mergeCell ref="K124:K126"/>
    <mergeCell ref="B112:C112"/>
    <mergeCell ref="D112:F112"/>
    <mergeCell ref="H112:I112"/>
    <mergeCell ref="L115:M115"/>
    <mergeCell ref="N115:O115"/>
    <mergeCell ref="L116:M116"/>
    <mergeCell ref="N116:O116"/>
    <mergeCell ref="L117:M117"/>
    <mergeCell ref="N117:O117"/>
    <mergeCell ref="B113:C113"/>
    <mergeCell ref="D113:F113"/>
    <mergeCell ref="H113:I113"/>
    <mergeCell ref="L113:M113"/>
    <mergeCell ref="N113:O113"/>
    <mergeCell ref="B114:C114"/>
    <mergeCell ref="D114:F114"/>
    <mergeCell ref="H114:I114"/>
    <mergeCell ref="H117:I118"/>
    <mergeCell ref="J117:J118"/>
    <mergeCell ref="K117:K118"/>
    <mergeCell ref="D116:F116"/>
    <mergeCell ref="H116:I116"/>
    <mergeCell ref="B117:C118"/>
    <mergeCell ref="D117:F118"/>
    <mergeCell ref="N133:O133"/>
    <mergeCell ref="L143:M143"/>
    <mergeCell ref="N143:O143"/>
    <mergeCell ref="N122:O122"/>
    <mergeCell ref="G117:G118"/>
    <mergeCell ref="L118:M118"/>
    <mergeCell ref="N118:O118"/>
    <mergeCell ref="R124:R126"/>
    <mergeCell ref="R127:R128"/>
    <mergeCell ref="H122:I122"/>
    <mergeCell ref="L122:M122"/>
    <mergeCell ref="L119:M119"/>
    <mergeCell ref="N119:O119"/>
    <mergeCell ref="R117:R118"/>
    <mergeCell ref="H119:I119"/>
    <mergeCell ref="G120:G121"/>
    <mergeCell ref="H120:I121"/>
    <mergeCell ref="J120:J121"/>
    <mergeCell ref="G127:G128"/>
    <mergeCell ref="H127:I128"/>
    <mergeCell ref="J127:J128"/>
    <mergeCell ref="K127:K128"/>
    <mergeCell ref="L126:M126"/>
    <mergeCell ref="N126:O126"/>
    <mergeCell ref="N254:O254"/>
    <mergeCell ref="L254:M254"/>
    <mergeCell ref="L253:M253"/>
    <mergeCell ref="P256:P257"/>
    <mergeCell ref="N258:O258"/>
    <mergeCell ref="K251:K255"/>
    <mergeCell ref="L251:M251"/>
    <mergeCell ref="N251:O251"/>
    <mergeCell ref="L109:M109"/>
    <mergeCell ref="N109:O109"/>
    <mergeCell ref="L110:M110"/>
    <mergeCell ref="N110:O110"/>
    <mergeCell ref="L111:M111"/>
    <mergeCell ref="N111:O111"/>
    <mergeCell ref="L112:M112"/>
    <mergeCell ref="N112:O112"/>
    <mergeCell ref="K110:K111"/>
    <mergeCell ref="L114:M114"/>
    <mergeCell ref="N114:O114"/>
    <mergeCell ref="K120:K121"/>
    <mergeCell ref="L120:M120"/>
    <mergeCell ref="N120:O120"/>
    <mergeCell ref="L121:M121"/>
    <mergeCell ref="N121:O121"/>
    <mergeCell ref="Q260:Q261"/>
    <mergeCell ref="R260:R261"/>
    <mergeCell ref="B262:C263"/>
    <mergeCell ref="D262:F263"/>
    <mergeCell ref="G262:G263"/>
    <mergeCell ref="H262:I263"/>
    <mergeCell ref="J262:J263"/>
    <mergeCell ref="K262:K263"/>
    <mergeCell ref="R262:R263"/>
    <mergeCell ref="L263:M263"/>
    <mergeCell ref="L262:M262"/>
    <mergeCell ref="N262:O262"/>
    <mergeCell ref="K260:K261"/>
    <mergeCell ref="L260:M261"/>
    <mergeCell ref="N260:O261"/>
    <mergeCell ref="P260:P261"/>
    <mergeCell ref="N263:O263"/>
    <mergeCell ref="J260:J261"/>
    <mergeCell ref="Q256:Q257"/>
    <mergeCell ref="R256:R257"/>
    <mergeCell ref="D245:F246"/>
    <mergeCell ref="G245:G246"/>
    <mergeCell ref="R245:R246"/>
    <mergeCell ref="B247:C247"/>
    <mergeCell ref="D247:F247"/>
    <mergeCell ref="B248:C249"/>
    <mergeCell ref="D248:F249"/>
    <mergeCell ref="N250:O250"/>
    <mergeCell ref="L250:M250"/>
    <mergeCell ref="L247:M247"/>
    <mergeCell ref="N253:O253"/>
    <mergeCell ref="J256:J257"/>
    <mergeCell ref="K256:K257"/>
    <mergeCell ref="L256:M257"/>
    <mergeCell ref="N256:O257"/>
    <mergeCell ref="H245:I246"/>
    <mergeCell ref="J245:J246"/>
    <mergeCell ref="K245:K246"/>
    <mergeCell ref="H247:I247"/>
    <mergeCell ref="G256:G257"/>
    <mergeCell ref="R248:R249"/>
    <mergeCell ref="J251:J255"/>
    <mergeCell ref="Q219:Q220"/>
    <mergeCell ref="Q234:Q235"/>
    <mergeCell ref="J227:J228"/>
    <mergeCell ref="D230:F230"/>
    <mergeCell ref="H230:I230"/>
    <mergeCell ref="B232:C232"/>
    <mergeCell ref="D232:F232"/>
    <mergeCell ref="H232:I232"/>
    <mergeCell ref="D234:F235"/>
    <mergeCell ref="G234:G235"/>
    <mergeCell ref="H234:I235"/>
    <mergeCell ref="J234:J235"/>
    <mergeCell ref="K234:K235"/>
    <mergeCell ref="L234:M235"/>
    <mergeCell ref="N234:O235"/>
    <mergeCell ref="B234:C235"/>
    <mergeCell ref="L219:M220"/>
    <mergeCell ref="N219:O220"/>
    <mergeCell ref="L223:M223"/>
    <mergeCell ref="L222:M222"/>
    <mergeCell ref="B219:C223"/>
    <mergeCell ref="D219:F223"/>
    <mergeCell ref="P219:P220"/>
    <mergeCell ref="B230:C230"/>
    <mergeCell ref="B237:C238"/>
    <mergeCell ref="D237:F238"/>
    <mergeCell ref="G237:G238"/>
    <mergeCell ref="H237:I238"/>
    <mergeCell ref="L238:M238"/>
    <mergeCell ref="J237:J238"/>
    <mergeCell ref="K237:K238"/>
    <mergeCell ref="K219:K223"/>
    <mergeCell ref="N238:O238"/>
    <mergeCell ref="L237:M237"/>
    <mergeCell ref="N237:O237"/>
    <mergeCell ref="D236:F236"/>
    <mergeCell ref="H236:I236"/>
    <mergeCell ref="H227:I228"/>
    <mergeCell ref="H229:I229"/>
    <mergeCell ref="J174:J175"/>
    <mergeCell ref="J196:J197"/>
    <mergeCell ref="R205:R206"/>
    <mergeCell ref="N199:O199"/>
    <mergeCell ref="N198:O198"/>
    <mergeCell ref="L198:M198"/>
    <mergeCell ref="L199:M199"/>
    <mergeCell ref="H199:I199"/>
    <mergeCell ref="N203:O203"/>
    <mergeCell ref="N204:O204"/>
    <mergeCell ref="J205:J206"/>
    <mergeCell ref="K205:K206"/>
    <mergeCell ref="H203:I203"/>
    <mergeCell ref="H196:I197"/>
    <mergeCell ref="K196:K197"/>
    <mergeCell ref="R196:R197"/>
    <mergeCell ref="H200:I202"/>
    <mergeCell ref="J200:J202"/>
    <mergeCell ref="K200:K202"/>
    <mergeCell ref="R200:R202"/>
    <mergeCell ref="L175:M175"/>
    <mergeCell ref="B178:C178"/>
    <mergeCell ref="D178:F178"/>
    <mergeCell ref="H178:I178"/>
    <mergeCell ref="B176:C177"/>
    <mergeCell ref="D176:F177"/>
    <mergeCell ref="G176:G177"/>
    <mergeCell ref="H176:I177"/>
    <mergeCell ref="L183:M183"/>
    <mergeCell ref="L182:M182"/>
    <mergeCell ref="J176:J177"/>
    <mergeCell ref="J165:J168"/>
    <mergeCell ref="K165:K168"/>
    <mergeCell ref="R165:R168"/>
    <mergeCell ref="B169:C172"/>
    <mergeCell ref="D169:F172"/>
    <mergeCell ref="G169:G172"/>
    <mergeCell ref="H169:I172"/>
    <mergeCell ref="J169:J172"/>
    <mergeCell ref="K169:K172"/>
    <mergeCell ref="R169:R172"/>
    <mergeCell ref="L167:M167"/>
    <mergeCell ref="H165:I168"/>
    <mergeCell ref="R176:R177"/>
    <mergeCell ref="N176:O176"/>
    <mergeCell ref="R183:R184"/>
    <mergeCell ref="Q185:Q186"/>
    <mergeCell ref="R185:R186"/>
    <mergeCell ref="J214:J218"/>
    <mergeCell ref="R251:R255"/>
    <mergeCell ref="L252:M252"/>
    <mergeCell ref="N252:O252"/>
    <mergeCell ref="K185:K186"/>
    <mergeCell ref="L184:M184"/>
    <mergeCell ref="R179:R180"/>
    <mergeCell ref="P185:P186"/>
    <mergeCell ref="N187:O187"/>
    <mergeCell ref="L204:M204"/>
    <mergeCell ref="N193:O193"/>
    <mergeCell ref="N201:O201"/>
    <mergeCell ref="J219:J223"/>
    <mergeCell ref="L255:M255"/>
    <mergeCell ref="N255:O255"/>
    <mergeCell ref="R237:R238"/>
    <mergeCell ref="L240:M240"/>
    <mergeCell ref="N207:O207"/>
    <mergeCell ref="N206:O206"/>
    <mergeCell ref="D185:F186"/>
    <mergeCell ref="G185:G186"/>
    <mergeCell ref="H185:I186"/>
    <mergeCell ref="J185:J186"/>
    <mergeCell ref="G183:G184"/>
    <mergeCell ref="H183:I184"/>
    <mergeCell ref="J183:J184"/>
    <mergeCell ref="D187:F187"/>
    <mergeCell ref="H187:I187"/>
    <mergeCell ref="L181:M181"/>
    <mergeCell ref="K225:K226"/>
    <mergeCell ref="K227:K228"/>
    <mergeCell ref="L231:M231"/>
    <mergeCell ref="N231:O231"/>
    <mergeCell ref="L232:M232"/>
    <mergeCell ref="N232:O232"/>
    <mergeCell ref="L229:M229"/>
    <mergeCell ref="D188:F188"/>
    <mergeCell ref="H188:I188"/>
    <mergeCell ref="K214:K218"/>
    <mergeCell ref="L214:M215"/>
    <mergeCell ref="N214:O215"/>
    <mergeCell ref="H212:I212"/>
    <mergeCell ref="H210:I211"/>
    <mergeCell ref="H213:I213"/>
    <mergeCell ref="D190:F190"/>
    <mergeCell ref="H190:I190"/>
    <mergeCell ref="N188:O188"/>
    <mergeCell ref="N202:O202"/>
    <mergeCell ref="N192:O192"/>
    <mergeCell ref="L202:M202"/>
    <mergeCell ref="L196:M196"/>
    <mergeCell ref="N205:O205"/>
    <mergeCell ref="B185:C186"/>
    <mergeCell ref="H214:I218"/>
    <mergeCell ref="R219:R223"/>
    <mergeCell ref="B231:C231"/>
    <mergeCell ref="D231:F231"/>
    <mergeCell ref="H231:I231"/>
    <mergeCell ref="N229:O229"/>
    <mergeCell ref="L230:M230"/>
    <mergeCell ref="N230:O230"/>
    <mergeCell ref="R225:R226"/>
    <mergeCell ref="R227:R228"/>
    <mergeCell ref="N224:O224"/>
    <mergeCell ref="L228:M228"/>
    <mergeCell ref="B205:C206"/>
    <mergeCell ref="D205:F206"/>
    <mergeCell ref="L185:M186"/>
    <mergeCell ref="N185:O186"/>
    <mergeCell ref="L197:M197"/>
    <mergeCell ref="L213:M213"/>
    <mergeCell ref="L212:M212"/>
    <mergeCell ref="N212:O212"/>
    <mergeCell ref="L208:M208"/>
    <mergeCell ref="L207:M207"/>
    <mergeCell ref="P214:P215"/>
    <mergeCell ref="B192:C192"/>
    <mergeCell ref="B198:C198"/>
    <mergeCell ref="B191:C191"/>
    <mergeCell ref="D191:F191"/>
    <mergeCell ref="H191:I191"/>
    <mergeCell ref="R234:R235"/>
    <mergeCell ref="P234:P235"/>
    <mergeCell ref="B187:C187"/>
    <mergeCell ref="B188:C188"/>
    <mergeCell ref="Q214:Q215"/>
    <mergeCell ref="P210:P211"/>
    <mergeCell ref="Q210:Q211"/>
    <mergeCell ref="L206:M206"/>
    <mergeCell ref="L205:M205"/>
    <mergeCell ref="L201:M201"/>
    <mergeCell ref="L200:M200"/>
    <mergeCell ref="R214:R218"/>
    <mergeCell ref="L188:M188"/>
    <mergeCell ref="L225:M225"/>
    <mergeCell ref="L224:M224"/>
    <mergeCell ref="L221:M221"/>
    <mergeCell ref="N217:O217"/>
    <mergeCell ref="N218:O218"/>
    <mergeCell ref="N223:O223"/>
    <mergeCell ref="N167:O167"/>
    <mergeCell ref="R210:R211"/>
    <mergeCell ref="N196:O196"/>
    <mergeCell ref="N225:O225"/>
    <mergeCell ref="N228:O228"/>
    <mergeCell ref="R194:R195"/>
    <mergeCell ref="N190:O190"/>
    <mergeCell ref="B189:C189"/>
    <mergeCell ref="D189:F189"/>
    <mergeCell ref="H189:I189"/>
    <mergeCell ref="B190:C190"/>
    <mergeCell ref="N227:O227"/>
    <mergeCell ref="L216:M216"/>
    <mergeCell ref="L217:M217"/>
    <mergeCell ref="L227:M227"/>
    <mergeCell ref="L195:M195"/>
    <mergeCell ref="J194:J195"/>
    <mergeCell ref="N213:O213"/>
    <mergeCell ref="L209:M209"/>
    <mergeCell ref="N209:O209"/>
    <mergeCell ref="L189:M189"/>
    <mergeCell ref="D208:F208"/>
    <mergeCell ref="B194:C195"/>
    <mergeCell ref="B199:C199"/>
    <mergeCell ref="H279:I279"/>
    <mergeCell ref="H281:I281"/>
    <mergeCell ref="I314:J314"/>
    <mergeCell ref="F300:H300"/>
    <mergeCell ref="F281:G281"/>
    <mergeCell ref="F311:F312"/>
    <mergeCell ref="I313:J313"/>
    <mergeCell ref="N173:O173"/>
    <mergeCell ref="N168:O168"/>
    <mergeCell ref="F276:G276"/>
    <mergeCell ref="H276:I276"/>
    <mergeCell ref="F275:G275"/>
    <mergeCell ref="H275:I275"/>
    <mergeCell ref="L264:M264"/>
    <mergeCell ref="L258:M258"/>
    <mergeCell ref="L241:M241"/>
    <mergeCell ref="N241:O241"/>
    <mergeCell ref="L242:M242"/>
    <mergeCell ref="N177:O177"/>
    <mergeCell ref="K179:K180"/>
    <mergeCell ref="K183:K184"/>
    <mergeCell ref="N180:O180"/>
    <mergeCell ref="L179:M179"/>
    <mergeCell ref="N179:O179"/>
    <mergeCell ref="D199:F199"/>
    <mergeCell ref="H194:I195"/>
    <mergeCell ref="K194:K195"/>
    <mergeCell ref="L166:M166"/>
    <mergeCell ref="M81:N81"/>
    <mergeCell ref="M82:N82"/>
    <mergeCell ref="B14:I14"/>
    <mergeCell ref="B34:I34"/>
    <mergeCell ref="I36:I37"/>
    <mergeCell ref="B39:C39"/>
    <mergeCell ref="B42:C42"/>
    <mergeCell ref="B29:C29"/>
    <mergeCell ref="B22:C22"/>
    <mergeCell ref="B15:C15"/>
    <mergeCell ref="B16:C20"/>
    <mergeCell ref="B23:C27"/>
    <mergeCell ref="B40:C40"/>
    <mergeCell ref="M67:N67"/>
    <mergeCell ref="L164:M164"/>
    <mergeCell ref="N164:O164"/>
    <mergeCell ref="M80:N80"/>
    <mergeCell ref="N195:O195"/>
    <mergeCell ref="N194:O194"/>
    <mergeCell ref="N197:O197"/>
    <mergeCell ref="D192:F192"/>
    <mergeCell ref="D193:F193"/>
    <mergeCell ref="H192:I192"/>
    <mergeCell ref="G194:G195"/>
    <mergeCell ref="H193:I193"/>
    <mergeCell ref="B73:H73"/>
    <mergeCell ref="B80:C81"/>
    <mergeCell ref="E80:F80"/>
    <mergeCell ref="B74:N74"/>
    <mergeCell ref="G88:H88"/>
    <mergeCell ref="B164:C164"/>
    <mergeCell ref="L191:M191"/>
    <mergeCell ref="L170:M170"/>
    <mergeCell ref="M88:N88"/>
    <mergeCell ref="N181:O181"/>
    <mergeCell ref="D194:F195"/>
    <mergeCell ref="L168:M168"/>
    <mergeCell ref="L174:M174"/>
    <mergeCell ref="N171:O171"/>
    <mergeCell ref="L178:M178"/>
    <mergeCell ref="N178:O178"/>
    <mergeCell ref="N175:O175"/>
    <mergeCell ref="N182:O182"/>
    <mergeCell ref="L180:M180"/>
    <mergeCell ref="B82:D82"/>
    <mergeCell ref="E82:F82"/>
    <mergeCell ref="G59:H59"/>
    <mergeCell ref="G57:H58"/>
    <mergeCell ref="I57:I58"/>
    <mergeCell ref="K176:K177"/>
    <mergeCell ref="B31:H31"/>
    <mergeCell ref="B30:C30"/>
    <mergeCell ref="B35:C35"/>
    <mergeCell ref="D35:E35"/>
    <mergeCell ref="F35:G35"/>
    <mergeCell ref="B36:C37"/>
    <mergeCell ref="D36:E36"/>
    <mergeCell ref="G67:H67"/>
    <mergeCell ref="J78:J79"/>
    <mergeCell ref="K63:K64"/>
    <mergeCell ref="E65:F65"/>
    <mergeCell ref="I84:I85"/>
    <mergeCell ref="J84:J85"/>
    <mergeCell ref="I78:I79"/>
    <mergeCell ref="B68:C68"/>
    <mergeCell ref="E78:F79"/>
    <mergeCell ref="G78:H79"/>
    <mergeCell ref="B89:C89"/>
    <mergeCell ref="F45:F46"/>
    <mergeCell ref="B45:C46"/>
    <mergeCell ref="B50:C50"/>
    <mergeCell ref="D44:E44"/>
    <mergeCell ref="F44:G44"/>
    <mergeCell ref="I45:I46"/>
    <mergeCell ref="E57:F58"/>
    <mergeCell ref="G45:H45"/>
    <mergeCell ref="B53:J53"/>
    <mergeCell ref="B47:C47"/>
    <mergeCell ref="B48:C48"/>
    <mergeCell ref="G36:H36"/>
    <mergeCell ref="F36:F37"/>
    <mergeCell ref="G66:H66"/>
    <mergeCell ref="H164:I164"/>
    <mergeCell ref="G80:H80"/>
    <mergeCell ref="B163:R163"/>
    <mergeCell ref="M86:N86"/>
    <mergeCell ref="G87:H87"/>
    <mergeCell ref="M87:N87"/>
    <mergeCell ref="E87:F87"/>
    <mergeCell ref="M66:N66"/>
    <mergeCell ref="B38:C38"/>
    <mergeCell ref="E66:F66"/>
    <mergeCell ref="B70:H70"/>
    <mergeCell ref="B51:C51"/>
    <mergeCell ref="B59:C60"/>
    <mergeCell ref="B61:D61"/>
    <mergeCell ref="B44:C44"/>
    <mergeCell ref="B41:C41"/>
    <mergeCell ref="K57:K58"/>
    <mergeCell ref="J57:J58"/>
    <mergeCell ref="B52:C52"/>
    <mergeCell ref="B49:C49"/>
    <mergeCell ref="D45:E45"/>
    <mergeCell ref="H208:I208"/>
    <mergeCell ref="H209:I209"/>
    <mergeCell ref="L210:M211"/>
    <mergeCell ref="N210:O211"/>
    <mergeCell ref="H224:I224"/>
    <mergeCell ref="M84:N85"/>
    <mergeCell ref="G63:H64"/>
    <mergeCell ref="M78:N79"/>
    <mergeCell ref="L236:M236"/>
    <mergeCell ref="H198:I198"/>
    <mergeCell ref="L171:M171"/>
    <mergeCell ref="L165:M165"/>
    <mergeCell ref="N169:O169"/>
    <mergeCell ref="N170:O170"/>
    <mergeCell ref="N165:O165"/>
    <mergeCell ref="L169:M169"/>
    <mergeCell ref="N221:O221"/>
    <mergeCell ref="K78:K79"/>
    <mergeCell ref="H207:I207"/>
    <mergeCell ref="L135:M135"/>
    <mergeCell ref="N135:O135"/>
    <mergeCell ref="L138:M138"/>
    <mergeCell ref="N138:O138"/>
    <mergeCell ref="L139:M139"/>
    <mergeCell ref="L233:M233"/>
    <mergeCell ref="N236:O236"/>
    <mergeCell ref="N233:O233"/>
    <mergeCell ref="J210:J211"/>
    <mergeCell ref="K210:K211"/>
    <mergeCell ref="N200:O200"/>
    <mergeCell ref="L203:M203"/>
    <mergeCell ref="L226:M226"/>
    <mergeCell ref="N226:O226"/>
    <mergeCell ref="N208:O208"/>
    <mergeCell ref="L218:M218"/>
    <mergeCell ref="N222:O222"/>
    <mergeCell ref="B293:D293"/>
    <mergeCell ref="B291:D291"/>
    <mergeCell ref="B292:D292"/>
    <mergeCell ref="N259:O259"/>
    <mergeCell ref="F271:G271"/>
    <mergeCell ref="F272:G272"/>
    <mergeCell ref="B288:D289"/>
    <mergeCell ref="E288:H288"/>
    <mergeCell ref="I288:L288"/>
    <mergeCell ref="H273:I273"/>
    <mergeCell ref="F273:G273"/>
    <mergeCell ref="B277:C282"/>
    <mergeCell ref="F278:G278"/>
    <mergeCell ref="H259:I259"/>
    <mergeCell ref="H278:I278"/>
    <mergeCell ref="B271:C276"/>
    <mergeCell ref="D259:F259"/>
    <mergeCell ref="B259:C259"/>
    <mergeCell ref="H260:I261"/>
    <mergeCell ref="L259:M259"/>
    <mergeCell ref="B260:C261"/>
    <mergeCell ref="M288:P288"/>
    <mergeCell ref="H280:I280"/>
    <mergeCell ref="H282:I282"/>
    <mergeCell ref="B99:R99"/>
    <mergeCell ref="I63:I64"/>
    <mergeCell ref="J63:J64"/>
    <mergeCell ref="E63:F64"/>
    <mergeCell ref="G61:H61"/>
    <mergeCell ref="G60:H60"/>
    <mergeCell ref="B56:N56"/>
    <mergeCell ref="M57:N58"/>
    <mergeCell ref="L57:L58"/>
    <mergeCell ref="M61:N61"/>
    <mergeCell ref="M60:N60"/>
    <mergeCell ref="M59:N59"/>
    <mergeCell ref="B67:D67"/>
    <mergeCell ref="E67:F67"/>
    <mergeCell ref="B65:C66"/>
    <mergeCell ref="M63:N64"/>
    <mergeCell ref="L63:L64"/>
    <mergeCell ref="L78:L79"/>
    <mergeCell ref="G82:H82"/>
    <mergeCell ref="M65:N65"/>
    <mergeCell ref="G65:H65"/>
    <mergeCell ref="E60:F60"/>
    <mergeCell ref="E61:F61"/>
    <mergeCell ref="E59:F59"/>
    <mergeCell ref="H173:I173"/>
    <mergeCell ref="E81:F81"/>
    <mergeCell ref="G81:H81"/>
    <mergeCell ref="E84:F85"/>
    <mergeCell ref="G84:H85"/>
    <mergeCell ref="K84:K85"/>
    <mergeCell ref="L84:L85"/>
    <mergeCell ref="B210:C211"/>
    <mergeCell ref="D210:F211"/>
    <mergeCell ref="G210:G211"/>
    <mergeCell ref="L177:M177"/>
    <mergeCell ref="D207:F207"/>
    <mergeCell ref="B86:C87"/>
    <mergeCell ref="E86:F86"/>
    <mergeCell ref="D101:F102"/>
    <mergeCell ref="L156:M156"/>
    <mergeCell ref="B156:C160"/>
    <mergeCell ref="D156:F160"/>
    <mergeCell ref="G156:G160"/>
    <mergeCell ref="H156:I160"/>
    <mergeCell ref="J156:J160"/>
    <mergeCell ref="K156:K160"/>
    <mergeCell ref="K138:K139"/>
    <mergeCell ref="G148:G149"/>
    <mergeCell ref="B109:C109"/>
    <mergeCell ref="H256:I257"/>
    <mergeCell ref="B179:C180"/>
    <mergeCell ref="B203:C203"/>
    <mergeCell ref="D203:F203"/>
    <mergeCell ref="D183:F184"/>
    <mergeCell ref="B233:C233"/>
    <mergeCell ref="D233:F233"/>
    <mergeCell ref="H233:I233"/>
    <mergeCell ref="G205:G206"/>
    <mergeCell ref="H205:I206"/>
    <mergeCell ref="D196:F197"/>
    <mergeCell ref="G196:G197"/>
    <mergeCell ref="B200:C202"/>
    <mergeCell ref="D200:F202"/>
    <mergeCell ref="G200:G202"/>
    <mergeCell ref="B213:C213"/>
    <mergeCell ref="D213:F213"/>
    <mergeCell ref="B214:C218"/>
    <mergeCell ref="D214:F218"/>
    <mergeCell ref="G214:G218"/>
    <mergeCell ref="B193:C193"/>
    <mergeCell ref="D198:F198"/>
    <mergeCell ref="H179:I180"/>
    <mergeCell ref="B236:C236"/>
    <mergeCell ref="B311:B312"/>
    <mergeCell ref="B209:C209"/>
    <mergeCell ref="D209:F209"/>
    <mergeCell ref="B101:C102"/>
    <mergeCell ref="D227:F228"/>
    <mergeCell ref="G227:G228"/>
    <mergeCell ref="B229:C229"/>
    <mergeCell ref="D229:F229"/>
    <mergeCell ref="G174:G175"/>
    <mergeCell ref="B165:C168"/>
    <mergeCell ref="D165:F168"/>
    <mergeCell ref="G165:G168"/>
    <mergeCell ref="B173:C173"/>
    <mergeCell ref="D173:F173"/>
    <mergeCell ref="B110:C111"/>
    <mergeCell ref="D110:F111"/>
    <mergeCell ref="G110:G111"/>
    <mergeCell ref="B239:C241"/>
    <mergeCell ref="D239:F241"/>
    <mergeCell ref="G239:G241"/>
    <mergeCell ref="G248:G249"/>
    <mergeCell ref="B204:C204"/>
    <mergeCell ref="D204:F204"/>
    <mergeCell ref="B106:C108"/>
    <mergeCell ref="D258:F258"/>
    <mergeCell ref="C315:E315"/>
    <mergeCell ref="I315:J315"/>
    <mergeCell ref="G311:G312"/>
    <mergeCell ref="B266:C266"/>
    <mergeCell ref="F274:G274"/>
    <mergeCell ref="H274:I274"/>
    <mergeCell ref="F280:G280"/>
    <mergeCell ref="F279:G279"/>
    <mergeCell ref="F282:G282"/>
    <mergeCell ref="B283:C283"/>
    <mergeCell ref="B270:C270"/>
    <mergeCell ref="H311:H312"/>
    <mergeCell ref="B301:C301"/>
    <mergeCell ref="I311:J312"/>
    <mergeCell ref="B294:C294"/>
    <mergeCell ref="I300:K300"/>
    <mergeCell ref="B303:C303"/>
    <mergeCell ref="D301:E303"/>
    <mergeCell ref="B299:C300"/>
    <mergeCell ref="D299:E300"/>
    <mergeCell ref="C314:E314"/>
    <mergeCell ref="D212:F212"/>
    <mergeCell ref="C313:E313"/>
    <mergeCell ref="B290:D290"/>
    <mergeCell ref="G86:H86"/>
    <mergeCell ref="D164:F164"/>
    <mergeCell ref="B88:D88"/>
    <mergeCell ref="E88:F88"/>
    <mergeCell ref="B207:C207"/>
    <mergeCell ref="B212:C212"/>
    <mergeCell ref="B304:C304"/>
    <mergeCell ref="C311:E312"/>
    <mergeCell ref="D179:F180"/>
    <mergeCell ref="G179:G180"/>
    <mergeCell ref="B181:C181"/>
    <mergeCell ref="D181:F181"/>
    <mergeCell ref="H181:I181"/>
    <mergeCell ref="B182:C182"/>
    <mergeCell ref="D182:F182"/>
    <mergeCell ref="H182:I182"/>
    <mergeCell ref="D224:F224"/>
    <mergeCell ref="G219:G223"/>
    <mergeCell ref="H219:I223"/>
    <mergeCell ref="H258:I258"/>
    <mergeCell ref="B183:C184"/>
    <mergeCell ref="B208:C208"/>
    <mergeCell ref="B330:C330"/>
    <mergeCell ref="C321:D321"/>
    <mergeCell ref="G321:H321"/>
    <mergeCell ref="I321:J321"/>
    <mergeCell ref="B323:C323"/>
    <mergeCell ref="B320:G320"/>
    <mergeCell ref="B316:C316"/>
    <mergeCell ref="E328:F328"/>
    <mergeCell ref="G329:H329"/>
    <mergeCell ref="G328:H328"/>
    <mergeCell ref="I328:J328"/>
    <mergeCell ref="I329:J329"/>
    <mergeCell ref="I322:J322"/>
    <mergeCell ref="G322:H322"/>
    <mergeCell ref="R156:R160"/>
    <mergeCell ref="L157:M157"/>
    <mergeCell ref="N157:O157"/>
    <mergeCell ref="L158:M158"/>
    <mergeCell ref="N158:O158"/>
    <mergeCell ref="L159:M159"/>
    <mergeCell ref="R242:R244"/>
    <mergeCell ref="L243:M243"/>
    <mergeCell ref="N243:O243"/>
    <mergeCell ref="L244:M244"/>
    <mergeCell ref="N244:O244"/>
    <mergeCell ref="N159:O159"/>
    <mergeCell ref="L160:M160"/>
    <mergeCell ref="N160:O160"/>
    <mergeCell ref="L173:M173"/>
    <mergeCell ref="L190:M190"/>
    <mergeCell ref="N189:O189"/>
    <mergeCell ref="L192:M192"/>
    <mergeCell ref="N191:O191"/>
    <mergeCell ref="L194:M194"/>
    <mergeCell ref="N216:O216"/>
    <mergeCell ref="N166:O166"/>
    <mergeCell ref="N183:O183"/>
    <mergeCell ref="R174:R175"/>
    <mergeCell ref="A238:A241"/>
    <mergeCell ref="A245:A246"/>
    <mergeCell ref="F277:G277"/>
    <mergeCell ref="H277:I277"/>
    <mergeCell ref="F270:G270"/>
    <mergeCell ref="B267:H267"/>
    <mergeCell ref="B269:F269"/>
    <mergeCell ref="H270:I270"/>
    <mergeCell ref="H271:I271"/>
    <mergeCell ref="H272:I272"/>
    <mergeCell ref="B250:C250"/>
    <mergeCell ref="D250:F250"/>
    <mergeCell ref="B251:C255"/>
    <mergeCell ref="D251:F255"/>
    <mergeCell ref="G251:G255"/>
    <mergeCell ref="H251:I255"/>
    <mergeCell ref="H250:I250"/>
    <mergeCell ref="B264:C264"/>
    <mergeCell ref="D264:F264"/>
    <mergeCell ref="H264:I264"/>
    <mergeCell ref="G260:G261"/>
    <mergeCell ref="D260:F261"/>
    <mergeCell ref="B245:C246"/>
    <mergeCell ref="B258:C258"/>
    <mergeCell ref="H239:I241"/>
    <mergeCell ref="J239:J241"/>
    <mergeCell ref="K239:K241"/>
    <mergeCell ref="R239:R241"/>
    <mergeCell ref="B242:C244"/>
    <mergeCell ref="D242:F244"/>
    <mergeCell ref="G242:G244"/>
    <mergeCell ref="H242:I244"/>
    <mergeCell ref="J242:J244"/>
    <mergeCell ref="K242:K244"/>
    <mergeCell ref="N242:O242"/>
    <mergeCell ref="N240:O240"/>
    <mergeCell ref="N239:O239"/>
    <mergeCell ref="L239:M239"/>
    <mergeCell ref="H248:I249"/>
    <mergeCell ref="J248:J249"/>
    <mergeCell ref="K248:K249"/>
    <mergeCell ref="L248:M249"/>
    <mergeCell ref="N248:O249"/>
    <mergeCell ref="P248:P249"/>
    <mergeCell ref="Q248:Q249"/>
    <mergeCell ref="L245:M245"/>
    <mergeCell ref="N245:O245"/>
    <mergeCell ref="L246:M246"/>
    <mergeCell ref="N246:O246"/>
    <mergeCell ref="N247:O247"/>
    <mergeCell ref="B136:C136"/>
    <mergeCell ref="D136:F136"/>
    <mergeCell ref="H136:I136"/>
    <mergeCell ref="L136:M136"/>
    <mergeCell ref="N136:O136"/>
    <mergeCell ref="B137:C137"/>
    <mergeCell ref="B147:C147"/>
    <mergeCell ref="D147:F147"/>
    <mergeCell ref="H147:I147"/>
    <mergeCell ref="N139:O139"/>
    <mergeCell ref="L144:M144"/>
    <mergeCell ref="N144:O144"/>
    <mergeCell ref="L145:M145"/>
    <mergeCell ref="N145:O145"/>
    <mergeCell ref="L146:M146"/>
    <mergeCell ref="B141:C142"/>
    <mergeCell ref="D141:F142"/>
    <mergeCell ref="G141:G142"/>
    <mergeCell ref="H141:I142"/>
    <mergeCell ref="J141:J142"/>
    <mergeCell ref="K141:K142"/>
    <mergeCell ref="H143:I143"/>
    <mergeCell ref="B144:C144"/>
    <mergeCell ref="D144:F144"/>
    <mergeCell ref="B148:C149"/>
    <mergeCell ref="D148:F149"/>
    <mergeCell ref="N156:O156"/>
    <mergeCell ref="J225:J226"/>
    <mergeCell ref="B225:C226"/>
    <mergeCell ref="D225:F226"/>
    <mergeCell ref="G225:G226"/>
    <mergeCell ref="H225:I226"/>
    <mergeCell ref="B227:C228"/>
    <mergeCell ref="B224:C224"/>
    <mergeCell ref="H204:I204"/>
    <mergeCell ref="N184:O184"/>
    <mergeCell ref="L172:M172"/>
    <mergeCell ref="N174:O174"/>
    <mergeCell ref="L187:M187"/>
    <mergeCell ref="N172:O172"/>
    <mergeCell ref="L176:M176"/>
    <mergeCell ref="L193:M193"/>
    <mergeCell ref="J179:J180"/>
    <mergeCell ref="K174:K175"/>
    <mergeCell ref="B174:C175"/>
    <mergeCell ref="D174:F175"/>
    <mergeCell ref="B196:C197"/>
    <mergeCell ref="H174:I175"/>
    <mergeCell ref="D106:F108"/>
    <mergeCell ref="G106:G108"/>
    <mergeCell ref="H106:I108"/>
    <mergeCell ref="J106:J108"/>
    <mergeCell ref="K106:K108"/>
    <mergeCell ref="D109:F109"/>
    <mergeCell ref="H109:I109"/>
    <mergeCell ref="K129:K130"/>
    <mergeCell ref="L129:M129"/>
    <mergeCell ref="D122:F122"/>
    <mergeCell ref="D119:F119"/>
    <mergeCell ref="D120:F121"/>
    <mergeCell ref="D127:F128"/>
    <mergeCell ref="L127:M127"/>
    <mergeCell ref="H110:I111"/>
    <mergeCell ref="B115:C115"/>
    <mergeCell ref="D115:F115"/>
    <mergeCell ref="H115:I115"/>
    <mergeCell ref="B116:C116"/>
    <mergeCell ref="B129:C130"/>
    <mergeCell ref="D129:F130"/>
    <mergeCell ref="G129:G130"/>
    <mergeCell ref="H129:I130"/>
    <mergeCell ref="J129:J130"/>
    <mergeCell ref="B122:C122"/>
    <mergeCell ref="B119:C119"/>
    <mergeCell ref="B120:C121"/>
    <mergeCell ref="B127:C128"/>
    <mergeCell ref="J101:J102"/>
    <mergeCell ref="K101:K102"/>
    <mergeCell ref="L107:M107"/>
    <mergeCell ref="R138:R139"/>
    <mergeCell ref="L124:M124"/>
    <mergeCell ref="N124:O124"/>
    <mergeCell ref="L125:M125"/>
    <mergeCell ref="N125:O125"/>
    <mergeCell ref="L105:M105"/>
    <mergeCell ref="N105:O105"/>
    <mergeCell ref="L106:M106"/>
    <mergeCell ref="N106:O106"/>
    <mergeCell ref="L101:M102"/>
    <mergeCell ref="N101:O102"/>
    <mergeCell ref="R110:R111"/>
    <mergeCell ref="R120:R121"/>
    <mergeCell ref="L130:M130"/>
    <mergeCell ref="N130:O130"/>
    <mergeCell ref="N107:O107"/>
    <mergeCell ref="L108:M108"/>
    <mergeCell ref="N108:O108"/>
    <mergeCell ref="J110:J111"/>
    <mergeCell ref="N129:O129"/>
    <mergeCell ref="L133:M133"/>
    <mergeCell ref="B100:C100"/>
    <mergeCell ref="D100:F100"/>
    <mergeCell ref="H100:I100"/>
    <mergeCell ref="L100:M100"/>
    <mergeCell ref="N100:O100"/>
    <mergeCell ref="B138:C139"/>
    <mergeCell ref="D138:F139"/>
    <mergeCell ref="G138:G139"/>
    <mergeCell ref="H138:I139"/>
    <mergeCell ref="J138:J139"/>
    <mergeCell ref="B103:C105"/>
    <mergeCell ref="D103:F105"/>
    <mergeCell ref="G103:G105"/>
    <mergeCell ref="H103:I105"/>
    <mergeCell ref="J103:J105"/>
    <mergeCell ref="K103:K105"/>
    <mergeCell ref="B134:C134"/>
    <mergeCell ref="D134:F134"/>
    <mergeCell ref="H134:I134"/>
    <mergeCell ref="L134:M134"/>
    <mergeCell ref="N134:O134"/>
    <mergeCell ref="B132:C132"/>
    <mergeCell ref="D132:F132"/>
    <mergeCell ref="H132:I132"/>
    <mergeCell ref="L265:M265"/>
    <mergeCell ref="N265:O265"/>
    <mergeCell ref="R101:R102"/>
    <mergeCell ref="L103:M103"/>
    <mergeCell ref="N103:O103"/>
    <mergeCell ref="L104:M104"/>
    <mergeCell ref="N104:O104"/>
    <mergeCell ref="N264:O264"/>
    <mergeCell ref="B265:C265"/>
    <mergeCell ref="D265:F265"/>
    <mergeCell ref="H265:I265"/>
    <mergeCell ref="B256:C257"/>
    <mergeCell ref="D256:F257"/>
    <mergeCell ref="R129:R130"/>
    <mergeCell ref="P101:P102"/>
    <mergeCell ref="Q101:Q102"/>
    <mergeCell ref="B133:C133"/>
    <mergeCell ref="D133:F133"/>
    <mergeCell ref="H133:I133"/>
    <mergeCell ref="B135:C135"/>
    <mergeCell ref="D135:F135"/>
    <mergeCell ref="H135:I135"/>
    <mergeCell ref="G101:G102"/>
    <mergeCell ref="H101:I102"/>
  </mergeCells>
  <phoneticPr fontId="32" type="noConversion"/>
  <conditionalFormatting sqref="B169">
    <cfRule type="duplicateValues" dxfId="40" priority="8"/>
  </conditionalFormatting>
  <conditionalFormatting sqref="B179">
    <cfRule type="duplicateValues" dxfId="39" priority="7"/>
  </conditionalFormatting>
  <conditionalFormatting sqref="B196">
    <cfRule type="duplicateValues" dxfId="38" priority="5"/>
  </conditionalFormatting>
  <conditionalFormatting sqref="B198">
    <cfRule type="duplicateValues" dxfId="37" priority="6"/>
  </conditionalFormatting>
  <conditionalFormatting sqref="B200">
    <cfRule type="duplicateValues" dxfId="36" priority="4"/>
  </conditionalFormatting>
  <conditionalFormatting sqref="B219">
    <cfRule type="duplicateValues" dxfId="35" priority="1"/>
  </conditionalFormatting>
  <conditionalFormatting sqref="B224 B214">
    <cfRule type="duplicateValues" dxfId="34" priority="11"/>
  </conditionalFormatting>
  <conditionalFormatting sqref="B262">
    <cfRule type="duplicateValues" dxfId="33" priority="10"/>
  </conditionalFormatting>
  <conditionalFormatting sqref="B264">
    <cfRule type="duplicateValues" dxfId="32" priority="9"/>
  </conditionalFormatting>
  <conditionalFormatting sqref="B265 B225 B165 B174 B181:B183 B236:B237 B250:B251 B242 B239 B258:B260 B256 B176 B203:B205 B199 B245 B185 B187:B194 B227 B247:B248 B207:B213 B229:B234">
    <cfRule type="duplicateValues" dxfId="31" priority="12"/>
  </conditionalFormatting>
  <conditionalFormatting sqref="B101:C160">
    <cfRule type="duplicateValues" dxfId="30" priority="3"/>
  </conditionalFormatting>
  <conditionalFormatting sqref="B165:C265">
    <cfRule type="duplicateValues" dxfId="29" priority="2"/>
  </conditionalFormatting>
  <conditionalFormatting sqref="E304:E305 G304:G305 I304:I305">
    <cfRule type="duplicateValues" dxfId="28" priority="38"/>
  </conditionalFormatting>
  <conditionalFormatting sqref="F52">
    <cfRule type="duplicateValues" dxfId="27" priority="50"/>
  </conditionalFormatting>
  <conditionalFormatting sqref="K62">
    <cfRule type="duplicateValues" dxfId="26" priority="25"/>
  </conditionalFormatting>
  <conditionalFormatting sqref="K76:K77">
    <cfRule type="duplicateValues" dxfId="25" priority="79"/>
  </conditionalFormatting>
  <conditionalFormatting sqref="K83">
    <cfRule type="duplicateValues" dxfId="24" priority="39"/>
  </conditionalFormatting>
  <conditionalFormatting sqref="K89:K90">
    <cfRule type="duplicateValues" dxfId="23" priority="77"/>
  </conditionalFormatting>
  <conditionalFormatting sqref="K286:K287">
    <cfRule type="duplicateValues" dxfId="22" priority="86"/>
  </conditionalFormatting>
  <conditionalFormatting sqref="K294:K297">
    <cfRule type="duplicateValues" dxfId="21" priority="81"/>
  </conditionalFormatting>
  <conditionalFormatting sqref="K298">
    <cfRule type="duplicateValues" dxfId="20" priority="193"/>
  </conditionalFormatting>
  <conditionalFormatting sqref="K304:K310">
    <cfRule type="duplicateValues" dxfId="19" priority="194"/>
  </conditionalFormatting>
  <conditionalFormatting sqref="K323:K325 K319:K320">
    <cfRule type="duplicateValues" dxfId="18" priority="91"/>
  </conditionalFormatting>
  <conditionalFormatting sqref="K326 K317:K318">
    <cfRule type="duplicateValues" dxfId="17" priority="90"/>
  </conditionalFormatting>
  <conditionalFormatting sqref="K327:K332">
    <cfRule type="duplicateValues" dxfId="16" priority="195"/>
  </conditionalFormatting>
  <conditionalFormatting sqref="K333:K1048576 K266:K268 K1:K14 K30:K34 K91:K98 K316 K52:K55 K68:K73 K285 K75 K161:K162 K35:P51">
    <cfRule type="duplicateValues" dxfId="15" priority="192"/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7:AK288"/>
  <sheetViews>
    <sheetView zoomScaleNormal="100" workbookViewId="0">
      <selection activeCell="F16" sqref="F16:G16"/>
    </sheetView>
  </sheetViews>
  <sheetFormatPr baseColWidth="10" defaultColWidth="11.42578125" defaultRowHeight="15" x14ac:dyDescent="0.25"/>
  <cols>
    <col min="1" max="1" width="11.42578125" customWidth="1"/>
    <col min="4" max="4" width="11.42578125" customWidth="1"/>
    <col min="5" max="5" width="12.28515625" customWidth="1"/>
    <col min="6" max="6" width="10.85546875" customWidth="1"/>
    <col min="7" max="26" width="11.42578125" customWidth="1"/>
  </cols>
  <sheetData>
    <row r="7" spans="2:11" ht="18" x14ac:dyDescent="0.25">
      <c r="B7" s="1" t="s">
        <v>0</v>
      </c>
    </row>
    <row r="9" spans="2:11" ht="18" x14ac:dyDescent="0.25">
      <c r="B9" s="1" t="s">
        <v>642</v>
      </c>
    </row>
    <row r="10" spans="2:11" ht="18" x14ac:dyDescent="0.25">
      <c r="B10" s="1"/>
    </row>
    <row r="11" spans="2:11" x14ac:dyDescent="0.25">
      <c r="B11" s="49"/>
    </row>
    <row r="12" spans="2:11" x14ac:dyDescent="0.25">
      <c r="B12" s="661" t="s">
        <v>806</v>
      </c>
      <c r="C12" s="518"/>
      <c r="D12" s="518"/>
      <c r="E12" s="518"/>
      <c r="F12" s="518"/>
      <c r="G12" s="48"/>
      <c r="K12" s="48"/>
    </row>
    <row r="13" spans="2:11" ht="15" customHeight="1" x14ac:dyDescent="0.25">
      <c r="B13" s="777" t="s">
        <v>2</v>
      </c>
      <c r="C13" s="777"/>
      <c r="D13" s="777" t="s">
        <v>376</v>
      </c>
      <c r="E13" s="777"/>
      <c r="F13" s="777" t="s">
        <v>377</v>
      </c>
      <c r="G13" s="777"/>
      <c r="H13" s="777" t="s">
        <v>378</v>
      </c>
      <c r="I13" s="777"/>
    </row>
    <row r="14" spans="2:11" x14ac:dyDescent="0.25">
      <c r="B14" s="777"/>
      <c r="C14" s="777"/>
      <c r="D14" s="777"/>
      <c r="E14" s="777"/>
      <c r="F14" s="777"/>
      <c r="G14" s="777"/>
      <c r="H14" s="777"/>
      <c r="I14" s="777"/>
    </row>
    <row r="15" spans="2:11" ht="15.75" thickBot="1" x14ac:dyDescent="0.3">
      <c r="B15" s="1172" t="s">
        <v>7</v>
      </c>
      <c r="C15" s="1172"/>
      <c r="D15" s="1176">
        <v>157</v>
      </c>
      <c r="E15" s="1176"/>
      <c r="F15" s="1175">
        <v>11</v>
      </c>
      <c r="G15" s="1175"/>
      <c r="H15" s="1173">
        <v>14.27</v>
      </c>
      <c r="I15" s="1173"/>
    </row>
    <row r="16" spans="2:11" ht="21" customHeight="1" thickBot="1" x14ac:dyDescent="0.3">
      <c r="B16" s="1171" t="s">
        <v>430</v>
      </c>
      <c r="C16" s="1171"/>
      <c r="D16" s="1174">
        <v>266</v>
      </c>
      <c r="E16" s="1174"/>
      <c r="F16" s="1174" t="s">
        <v>1897</v>
      </c>
      <c r="G16" s="1174"/>
      <c r="H16" s="1174" t="s">
        <v>1898</v>
      </c>
      <c r="I16" s="1174"/>
    </row>
    <row r="17" spans="2:23" ht="21" customHeight="1" thickBot="1" x14ac:dyDescent="0.3">
      <c r="B17" s="1171" t="s">
        <v>9</v>
      </c>
      <c r="C17" s="1171"/>
      <c r="D17" s="1178">
        <v>17</v>
      </c>
      <c r="E17" s="1178"/>
      <c r="F17" s="1177">
        <v>2</v>
      </c>
      <c r="G17" s="1177"/>
      <c r="H17" s="1179">
        <v>8.5</v>
      </c>
      <c r="I17" s="1179"/>
    </row>
    <row r="18" spans="2:23" x14ac:dyDescent="0.25">
      <c r="B18" s="1027" t="s">
        <v>1922</v>
      </c>
      <c r="C18" s="1027"/>
    </row>
    <row r="19" spans="2:23" x14ac:dyDescent="0.25">
      <c r="B19" s="44" t="s">
        <v>379</v>
      </c>
      <c r="C19" s="44"/>
    </row>
    <row r="20" spans="2:23" x14ac:dyDescent="0.25">
      <c r="B20" s="50"/>
    </row>
    <row r="21" spans="2:23" x14ac:dyDescent="0.25">
      <c r="B21" s="49"/>
    </row>
    <row r="22" spans="2:23" x14ac:dyDescent="0.25">
      <c r="B22" s="45" t="s">
        <v>807</v>
      </c>
      <c r="H22" s="48"/>
    </row>
    <row r="23" spans="2:23" ht="33.75" customHeight="1" x14ac:dyDescent="0.25">
      <c r="B23" s="777" t="s">
        <v>2</v>
      </c>
      <c r="C23" s="777"/>
      <c r="D23" s="777" t="s">
        <v>376</v>
      </c>
      <c r="E23" s="777"/>
      <c r="F23" s="778" t="s">
        <v>380</v>
      </c>
      <c r="G23" s="778"/>
      <c r="H23" s="778" t="s">
        <v>381</v>
      </c>
      <c r="I23" s="778"/>
    </row>
    <row r="24" spans="2:23" x14ac:dyDescent="0.25">
      <c r="B24" s="777"/>
      <c r="C24" s="777"/>
      <c r="D24" s="777"/>
      <c r="E24" s="777"/>
      <c r="F24" s="200" t="s">
        <v>382</v>
      </c>
      <c r="G24" s="200" t="s">
        <v>383</v>
      </c>
      <c r="H24" s="200" t="s">
        <v>382</v>
      </c>
      <c r="I24" s="200" t="s">
        <v>383</v>
      </c>
    </row>
    <row r="25" spans="2:23" ht="15.75" thickBot="1" x14ac:dyDescent="0.3">
      <c r="B25" s="1172" t="s">
        <v>7</v>
      </c>
      <c r="C25" s="1172"/>
      <c r="D25" s="1184">
        <v>174</v>
      </c>
      <c r="E25" s="1184"/>
      <c r="F25" s="551">
        <v>29</v>
      </c>
      <c r="G25" s="245">
        <v>0.1666</v>
      </c>
      <c r="H25" s="551">
        <v>76</v>
      </c>
      <c r="I25" s="245">
        <v>0.43669999999999998</v>
      </c>
    </row>
    <row r="26" spans="2:23" ht="21" customHeight="1" thickBot="1" x14ac:dyDescent="0.3">
      <c r="B26" s="1171" t="s">
        <v>430</v>
      </c>
      <c r="C26" s="1171"/>
      <c r="D26" s="1183" t="s">
        <v>1899</v>
      </c>
      <c r="E26" s="1183"/>
      <c r="F26" s="548" t="s">
        <v>1900</v>
      </c>
      <c r="G26" s="548" t="s">
        <v>1901</v>
      </c>
      <c r="H26" s="548" t="s">
        <v>1899</v>
      </c>
      <c r="I26" s="548" t="s">
        <v>1902</v>
      </c>
    </row>
    <row r="27" spans="2:23" ht="21" customHeight="1" x14ac:dyDescent="0.25">
      <c r="B27" s="642"/>
      <c r="C27" s="642"/>
      <c r="D27" s="642"/>
      <c r="E27" s="642"/>
      <c r="F27" s="642"/>
      <c r="G27" s="657"/>
      <c r="H27" s="642"/>
      <c r="I27" s="657"/>
      <c r="L27" s="205"/>
      <c r="M27" s="205"/>
      <c r="N27" s="62"/>
      <c r="O27" s="62"/>
      <c r="P27" s="62"/>
      <c r="Q27" s="62"/>
      <c r="R27" s="642"/>
      <c r="S27" s="642"/>
      <c r="T27" s="642"/>
      <c r="U27" s="657"/>
      <c r="V27" s="642"/>
      <c r="W27" s="657"/>
    </row>
    <row r="28" spans="2:23" x14ac:dyDescent="0.25">
      <c r="B28" s="1027" t="s">
        <v>1922</v>
      </c>
      <c r="C28" s="1027"/>
    </row>
    <row r="29" spans="2:23" x14ac:dyDescent="0.25">
      <c r="B29" s="44" t="s">
        <v>379</v>
      </c>
      <c r="C29" s="44"/>
    </row>
    <row r="30" spans="2:23" x14ac:dyDescent="0.25">
      <c r="B30" s="51"/>
      <c r="F30" s="48"/>
    </row>
    <row r="31" spans="2:23" x14ac:dyDescent="0.25">
      <c r="B31" s="51"/>
      <c r="N31" s="48"/>
    </row>
    <row r="32" spans="2:23" x14ac:dyDescent="0.25">
      <c r="B32" s="662" t="s">
        <v>808</v>
      </c>
      <c r="C32" s="518"/>
      <c r="D32" s="518"/>
      <c r="E32" s="518"/>
      <c r="F32" s="663"/>
      <c r="G32" s="48"/>
    </row>
    <row r="33" spans="1:13" ht="15" customHeight="1" x14ac:dyDescent="0.25">
      <c r="B33" s="777" t="s">
        <v>2</v>
      </c>
      <c r="C33" s="777"/>
      <c r="D33" s="777" t="s">
        <v>384</v>
      </c>
      <c r="E33" s="777"/>
      <c r="F33" s="777" t="s">
        <v>385</v>
      </c>
      <c r="G33" s="777"/>
      <c r="H33" s="778" t="s">
        <v>386</v>
      </c>
      <c r="I33" s="778"/>
      <c r="J33" s="778"/>
      <c r="K33" s="778"/>
    </row>
    <row r="34" spans="1:13" x14ac:dyDescent="0.25">
      <c r="B34" s="777"/>
      <c r="C34" s="777"/>
      <c r="D34" s="777"/>
      <c r="E34" s="777"/>
      <c r="F34" s="777"/>
      <c r="G34" s="777"/>
      <c r="H34" s="200" t="s">
        <v>387</v>
      </c>
      <c r="I34" s="200" t="s">
        <v>388</v>
      </c>
      <c r="J34" s="200" t="s">
        <v>389</v>
      </c>
      <c r="K34" s="200" t="s">
        <v>179</v>
      </c>
    </row>
    <row r="35" spans="1:13" ht="15.75" customHeight="1" thickBot="1" x14ac:dyDescent="0.3">
      <c r="B35" s="1172" t="s">
        <v>7</v>
      </c>
      <c r="C35" s="1172"/>
      <c r="D35" s="1176">
        <v>12</v>
      </c>
      <c r="E35" s="1176"/>
      <c r="F35" s="1181">
        <v>129</v>
      </c>
      <c r="G35" s="1181"/>
      <c r="H35" s="664">
        <v>100</v>
      </c>
      <c r="I35" s="664">
        <v>29</v>
      </c>
      <c r="J35" s="664">
        <v>47</v>
      </c>
      <c r="K35" s="664">
        <v>82</v>
      </c>
    </row>
    <row r="36" spans="1:13" ht="15.75" customHeight="1" thickBot="1" x14ac:dyDescent="0.3">
      <c r="B36" s="1171" t="s">
        <v>430</v>
      </c>
      <c r="C36" s="1171"/>
      <c r="D36" s="1174" t="s">
        <v>1897</v>
      </c>
      <c r="E36" s="1174"/>
      <c r="F36" s="1180">
        <v>143</v>
      </c>
      <c r="G36" s="1180"/>
      <c r="H36" s="522" t="s">
        <v>1903</v>
      </c>
      <c r="I36" s="522" t="s">
        <v>1904</v>
      </c>
      <c r="J36" s="522" t="s">
        <v>1905</v>
      </c>
      <c r="K36" s="522" t="s">
        <v>1906</v>
      </c>
    </row>
    <row r="37" spans="1:13" ht="15.75" customHeight="1" x14ac:dyDescent="0.25">
      <c r="B37" s="234"/>
      <c r="C37" s="234"/>
      <c r="D37" s="656"/>
      <c r="E37" s="656"/>
      <c r="F37" s="656"/>
      <c r="G37" s="656"/>
      <c r="H37" s="656"/>
      <c r="I37" s="656"/>
      <c r="J37" s="656"/>
      <c r="K37" s="656"/>
    </row>
    <row r="38" spans="1:13" x14ac:dyDescent="0.25">
      <c r="B38" s="1027" t="s">
        <v>1922</v>
      </c>
      <c r="C38" s="1027"/>
      <c r="H38" s="16"/>
      <c r="I38" s="16"/>
      <c r="J38" s="16"/>
      <c r="K38" s="16"/>
      <c r="L38" s="16"/>
      <c r="M38" s="16"/>
    </row>
    <row r="39" spans="1:13" x14ac:dyDescent="0.25">
      <c r="B39" s="40" t="s">
        <v>390</v>
      </c>
      <c r="H39" s="16"/>
      <c r="I39" s="16"/>
      <c r="J39" s="16"/>
      <c r="K39" s="16"/>
      <c r="L39" s="16"/>
      <c r="M39" s="16"/>
    </row>
    <row r="40" spans="1:13" x14ac:dyDescent="0.25">
      <c r="B40" s="40"/>
      <c r="E40" s="229"/>
      <c r="F40" s="229"/>
      <c r="G40" s="229"/>
      <c r="H40" s="229"/>
    </row>
    <row r="41" spans="1:13" x14ac:dyDescent="0.25">
      <c r="B41" s="51"/>
      <c r="E41" s="229"/>
      <c r="F41" s="229"/>
      <c r="G41" s="229"/>
      <c r="H41" s="229"/>
    </row>
    <row r="42" spans="1:13" x14ac:dyDescent="0.25">
      <c r="B42" s="159" t="s">
        <v>391</v>
      </c>
      <c r="C42" s="40"/>
      <c r="D42" s="40"/>
    </row>
    <row r="43" spans="1:13" x14ac:dyDescent="0.25">
      <c r="B43" s="661"/>
      <c r="C43" s="665"/>
      <c r="D43" s="665"/>
      <c r="E43" s="518"/>
      <c r="F43" s="518"/>
      <c r="G43" s="518"/>
    </row>
    <row r="44" spans="1:13" x14ac:dyDescent="0.25">
      <c r="A44" s="43"/>
      <c r="B44" s="661" t="s">
        <v>809</v>
      </c>
      <c r="C44" s="665"/>
      <c r="D44" s="665"/>
      <c r="E44" s="518"/>
      <c r="F44" s="518"/>
      <c r="G44" s="518"/>
    </row>
    <row r="45" spans="1:13" x14ac:dyDescent="0.25">
      <c r="A45" s="48"/>
      <c r="B45" s="777" t="s">
        <v>2</v>
      </c>
      <c r="C45" s="777"/>
      <c r="D45" s="778" t="s">
        <v>1231</v>
      </c>
      <c r="E45" s="778"/>
      <c r="F45" s="778"/>
    </row>
    <row r="46" spans="1:13" ht="21" x14ac:dyDescent="0.25">
      <c r="B46" s="778"/>
      <c r="C46" s="778"/>
      <c r="D46" s="200" t="s">
        <v>392</v>
      </c>
      <c r="E46" s="200" t="s">
        <v>393</v>
      </c>
      <c r="F46" s="200" t="s">
        <v>394</v>
      </c>
    </row>
    <row r="47" spans="1:13" ht="15.75" thickBot="1" x14ac:dyDescent="0.3">
      <c r="B47" s="1194" t="s">
        <v>7</v>
      </c>
      <c r="C47" s="1194"/>
      <c r="D47" s="550" t="s">
        <v>1886</v>
      </c>
      <c r="E47" s="550">
        <v>90</v>
      </c>
      <c r="F47" s="523" t="s">
        <v>51</v>
      </c>
      <c r="G47" s="48"/>
    </row>
    <row r="48" spans="1:13" ht="15.75" thickBot="1" x14ac:dyDescent="0.3">
      <c r="B48" s="1171" t="s">
        <v>430</v>
      </c>
      <c r="C48" s="1171"/>
      <c r="D48" s="522" t="s">
        <v>51</v>
      </c>
      <c r="E48" s="549" t="s">
        <v>51</v>
      </c>
      <c r="F48" s="522" t="s">
        <v>51</v>
      </c>
    </row>
    <row r="49" spans="1:14" x14ac:dyDescent="0.25">
      <c r="B49" s="1027" t="s">
        <v>1922</v>
      </c>
      <c r="C49" s="1027"/>
      <c r="D49" s="518"/>
      <c r="E49" s="518"/>
      <c r="F49" s="518"/>
    </row>
    <row r="50" spans="1:14" x14ac:dyDescent="0.25">
      <c r="B50" s="1027" t="s">
        <v>395</v>
      </c>
      <c r="C50" s="1027"/>
    </row>
    <row r="51" spans="1:14" x14ac:dyDescent="0.25">
      <c r="B51" s="37"/>
      <c r="C51" s="40"/>
      <c r="D51" s="40"/>
    </row>
    <row r="52" spans="1:14" x14ac:dyDescent="0.25">
      <c r="B52" s="40"/>
      <c r="C52" s="40"/>
      <c r="D52" s="40"/>
      <c r="E52" s="52"/>
    </row>
    <row r="53" spans="1:14" x14ac:dyDescent="0.25">
      <c r="B53" s="159" t="s">
        <v>396</v>
      </c>
    </row>
    <row r="54" spans="1:14" x14ac:dyDescent="0.25">
      <c r="B54" s="45"/>
    </row>
    <row r="55" spans="1:14" x14ac:dyDescent="0.25">
      <c r="A55" s="43"/>
      <c r="B55" s="15" t="s">
        <v>810</v>
      </c>
      <c r="C55" s="15"/>
      <c r="D55" s="15"/>
      <c r="G55" s="48"/>
    </row>
    <row r="56" spans="1:14" ht="15" customHeight="1" x14ac:dyDescent="0.25">
      <c r="B56" s="777" t="s">
        <v>2</v>
      </c>
      <c r="C56" s="777"/>
      <c r="D56" s="777" t="s">
        <v>397</v>
      </c>
      <c r="E56" s="777"/>
      <c r="F56" s="777" t="s">
        <v>398</v>
      </c>
      <c r="G56" s="777" t="s">
        <v>399</v>
      </c>
      <c r="H56" s="777"/>
      <c r="I56" s="777" t="s">
        <v>175</v>
      </c>
      <c r="J56" s="777"/>
      <c r="K56" s="777"/>
      <c r="L56" s="777"/>
      <c r="M56" s="777"/>
      <c r="N56" s="777"/>
    </row>
    <row r="57" spans="1:14" x14ac:dyDescent="0.25">
      <c r="B57" s="778"/>
      <c r="C57" s="778"/>
      <c r="D57" s="778"/>
      <c r="E57" s="778"/>
      <c r="F57" s="778"/>
      <c r="G57" s="778"/>
      <c r="H57" s="778"/>
      <c r="I57" s="200" t="s">
        <v>5</v>
      </c>
      <c r="J57" s="200" t="s">
        <v>6</v>
      </c>
      <c r="K57" s="200" t="s">
        <v>888</v>
      </c>
      <c r="L57" s="200" t="s">
        <v>953</v>
      </c>
      <c r="M57" s="200" t="s">
        <v>1125</v>
      </c>
      <c r="N57" s="200" t="s">
        <v>1229</v>
      </c>
    </row>
    <row r="58" spans="1:14" ht="31.5" customHeight="1" thickBot="1" x14ac:dyDescent="0.3">
      <c r="B58" s="1163" t="s">
        <v>7</v>
      </c>
      <c r="C58" s="1163"/>
      <c r="D58" s="1166" t="s">
        <v>400</v>
      </c>
      <c r="E58" s="1166"/>
      <c r="F58" s="226" t="s">
        <v>401</v>
      </c>
      <c r="G58" s="1162" t="s">
        <v>402</v>
      </c>
      <c r="H58" s="1162"/>
      <c r="I58" s="226">
        <v>0</v>
      </c>
      <c r="J58" s="226">
        <v>0</v>
      </c>
      <c r="K58" s="226">
        <v>0</v>
      </c>
      <c r="L58" s="226">
        <v>0</v>
      </c>
      <c r="M58" s="226">
        <v>0</v>
      </c>
      <c r="N58" s="675">
        <v>0</v>
      </c>
    </row>
    <row r="59" spans="1:14" ht="31.5" customHeight="1" thickBot="1" x14ac:dyDescent="0.3">
      <c r="B59" s="1163"/>
      <c r="C59" s="1163"/>
      <c r="D59" s="1182" t="s">
        <v>400</v>
      </c>
      <c r="E59" s="1182"/>
      <c r="F59" s="228" t="s">
        <v>401</v>
      </c>
      <c r="G59" s="919" t="s">
        <v>403</v>
      </c>
      <c r="H59" s="919"/>
      <c r="I59" s="228">
        <v>1</v>
      </c>
      <c r="J59" s="228">
        <v>0</v>
      </c>
      <c r="K59" s="228">
        <v>1</v>
      </c>
      <c r="L59" s="228">
        <v>1</v>
      </c>
      <c r="M59" s="228">
        <v>0</v>
      </c>
      <c r="N59" s="676">
        <v>0</v>
      </c>
    </row>
    <row r="60" spans="1:14" ht="31.5" customHeight="1" thickBot="1" x14ac:dyDescent="0.3">
      <c r="B60" s="1163"/>
      <c r="C60" s="1163"/>
      <c r="D60" s="1166" t="s">
        <v>400</v>
      </c>
      <c r="E60" s="1166"/>
      <c r="F60" s="226" t="s">
        <v>404</v>
      </c>
      <c r="G60" s="1162" t="s">
        <v>405</v>
      </c>
      <c r="H60" s="1162"/>
      <c r="I60" s="226">
        <v>0</v>
      </c>
      <c r="J60" s="226">
        <v>0</v>
      </c>
      <c r="K60" s="226">
        <v>0</v>
      </c>
      <c r="L60" s="226">
        <v>0</v>
      </c>
      <c r="M60" s="226">
        <v>0</v>
      </c>
      <c r="N60" s="675">
        <v>0</v>
      </c>
    </row>
    <row r="61" spans="1:14" ht="26.25" customHeight="1" x14ac:dyDescent="0.25">
      <c r="B61" s="1163"/>
      <c r="C61" s="1163"/>
      <c r="D61" s="1188" t="s">
        <v>406</v>
      </c>
      <c r="E61" s="1188"/>
      <c r="F61" s="155" t="s">
        <v>407</v>
      </c>
      <c r="G61" s="1167" t="s">
        <v>408</v>
      </c>
      <c r="H61" s="1167"/>
      <c r="I61" s="155">
        <v>0</v>
      </c>
      <c r="J61" s="155">
        <v>1</v>
      </c>
      <c r="K61" s="155">
        <v>0</v>
      </c>
      <c r="L61" s="155">
        <v>0</v>
      </c>
      <c r="M61" s="155">
        <v>0</v>
      </c>
      <c r="N61" s="677">
        <v>0</v>
      </c>
    </row>
    <row r="62" spans="1:14" ht="15.75" customHeight="1" thickBot="1" x14ac:dyDescent="0.3">
      <c r="B62" s="1164" t="s">
        <v>77</v>
      </c>
      <c r="C62" s="1164"/>
      <c r="D62" s="1164"/>
      <c r="E62" s="1164"/>
      <c r="F62" s="1164"/>
      <c r="G62" s="1164"/>
      <c r="H62" s="1164"/>
      <c r="I62" s="230">
        <f t="shared" ref="I62:N62" si="0">SUM(I58:I61)</f>
        <v>1</v>
      </c>
      <c r="J62" s="230">
        <f t="shared" si="0"/>
        <v>1</v>
      </c>
      <c r="K62" s="230">
        <f t="shared" si="0"/>
        <v>1</v>
      </c>
      <c r="L62" s="230">
        <f t="shared" si="0"/>
        <v>1</v>
      </c>
      <c r="M62" s="568">
        <f t="shared" si="0"/>
        <v>0</v>
      </c>
      <c r="N62" s="230">
        <f t="shared" si="0"/>
        <v>0</v>
      </c>
    </row>
    <row r="63" spans="1:14" ht="26.25" customHeight="1" thickBot="1" x14ac:dyDescent="0.3">
      <c r="B63" s="1163" t="s">
        <v>8</v>
      </c>
      <c r="C63" s="1163"/>
      <c r="D63" s="1166" t="s">
        <v>400</v>
      </c>
      <c r="E63" s="1166"/>
      <c r="F63" s="226" t="s">
        <v>621</v>
      </c>
      <c r="G63" s="1162" t="s">
        <v>622</v>
      </c>
      <c r="H63" s="1162"/>
      <c r="I63" s="226">
        <v>1</v>
      </c>
      <c r="J63" s="226">
        <v>0</v>
      </c>
      <c r="K63" s="226">
        <v>0</v>
      </c>
      <c r="L63" s="226">
        <v>0</v>
      </c>
      <c r="M63" s="226">
        <v>0</v>
      </c>
      <c r="N63" s="675">
        <v>0</v>
      </c>
    </row>
    <row r="64" spans="1:14" ht="26.25" customHeight="1" thickBot="1" x14ac:dyDescent="0.3">
      <c r="B64" s="1163"/>
      <c r="C64" s="1163"/>
      <c r="D64" s="1166" t="s">
        <v>400</v>
      </c>
      <c r="E64" s="1166"/>
      <c r="F64" s="226" t="s">
        <v>621</v>
      </c>
      <c r="G64" s="1162" t="s">
        <v>623</v>
      </c>
      <c r="H64" s="1162"/>
      <c r="I64" s="226">
        <v>1</v>
      </c>
      <c r="J64" s="226">
        <v>0</v>
      </c>
      <c r="K64" s="226">
        <v>0</v>
      </c>
      <c r="L64" s="226">
        <v>0</v>
      </c>
      <c r="M64" s="226">
        <v>0</v>
      </c>
      <c r="N64" s="675">
        <v>0</v>
      </c>
    </row>
    <row r="65" spans="1:14" ht="36" customHeight="1" thickBot="1" x14ac:dyDescent="0.3">
      <c r="B65" s="1163"/>
      <c r="C65" s="1163"/>
      <c r="D65" s="1166" t="s">
        <v>400</v>
      </c>
      <c r="E65" s="1166"/>
      <c r="F65" s="226" t="s">
        <v>621</v>
      </c>
      <c r="G65" s="1162" t="s">
        <v>624</v>
      </c>
      <c r="H65" s="1162"/>
      <c r="I65" s="226">
        <v>1</v>
      </c>
      <c r="J65" s="226">
        <v>0</v>
      </c>
      <c r="K65" s="226">
        <v>0</v>
      </c>
      <c r="L65" s="226">
        <v>0</v>
      </c>
      <c r="M65" s="226">
        <v>0</v>
      </c>
      <c r="N65" s="675">
        <v>0</v>
      </c>
    </row>
    <row r="66" spans="1:14" ht="28.5" customHeight="1" thickBot="1" x14ac:dyDescent="0.3">
      <c r="B66" s="1163"/>
      <c r="C66" s="1163"/>
      <c r="D66" s="1166" t="s">
        <v>400</v>
      </c>
      <c r="E66" s="1166"/>
      <c r="F66" s="226" t="s">
        <v>621</v>
      </c>
      <c r="G66" s="1162" t="s">
        <v>625</v>
      </c>
      <c r="H66" s="1162"/>
      <c r="I66" s="226">
        <v>1</v>
      </c>
      <c r="J66" s="226">
        <v>0</v>
      </c>
      <c r="K66" s="226">
        <v>0</v>
      </c>
      <c r="L66" s="226">
        <v>0</v>
      </c>
      <c r="M66" s="226">
        <v>0</v>
      </c>
      <c r="N66" s="675">
        <v>0</v>
      </c>
    </row>
    <row r="67" spans="1:14" ht="25.5" customHeight="1" thickBot="1" x14ac:dyDescent="0.3">
      <c r="B67" s="1163"/>
      <c r="C67" s="1163"/>
      <c r="D67" s="1166" t="s">
        <v>400</v>
      </c>
      <c r="E67" s="1166"/>
      <c r="F67" s="226" t="s">
        <v>621</v>
      </c>
      <c r="G67" s="1162" t="s">
        <v>626</v>
      </c>
      <c r="H67" s="1162"/>
      <c r="I67" s="226">
        <v>1</v>
      </c>
      <c r="J67" s="226">
        <v>0</v>
      </c>
      <c r="K67" s="226">
        <v>0</v>
      </c>
      <c r="L67" s="226">
        <v>0</v>
      </c>
      <c r="M67" s="226">
        <v>0</v>
      </c>
      <c r="N67" s="675">
        <v>0</v>
      </c>
    </row>
    <row r="68" spans="1:14" ht="26.25" customHeight="1" x14ac:dyDescent="0.25">
      <c r="B68" s="1163"/>
      <c r="C68" s="1163"/>
      <c r="D68" s="1188" t="s">
        <v>400</v>
      </c>
      <c r="E68" s="1188"/>
      <c r="F68" s="155" t="s">
        <v>401</v>
      </c>
      <c r="G68" s="1167" t="s">
        <v>402</v>
      </c>
      <c r="H68" s="1167"/>
      <c r="I68" s="155">
        <v>0</v>
      </c>
      <c r="J68" s="155">
        <v>1</v>
      </c>
      <c r="K68" s="155">
        <v>0</v>
      </c>
      <c r="L68" s="155">
        <v>0</v>
      </c>
      <c r="M68" s="155">
        <v>0</v>
      </c>
      <c r="N68" s="677">
        <v>0</v>
      </c>
    </row>
    <row r="69" spans="1:14" ht="15.75" customHeight="1" thickBot="1" x14ac:dyDescent="0.3">
      <c r="B69" s="1164" t="s">
        <v>77</v>
      </c>
      <c r="C69" s="1164"/>
      <c r="D69" s="1164"/>
      <c r="E69" s="1164"/>
      <c r="F69" s="1164"/>
      <c r="G69" s="1164"/>
      <c r="H69" s="1164"/>
      <c r="I69" s="230">
        <f t="shared" ref="I69:N69" si="1">SUM(I63:I68)</f>
        <v>5</v>
      </c>
      <c r="J69" s="230">
        <f t="shared" si="1"/>
        <v>1</v>
      </c>
      <c r="K69" s="230">
        <f t="shared" si="1"/>
        <v>0</v>
      </c>
      <c r="L69" s="230">
        <f t="shared" si="1"/>
        <v>0</v>
      </c>
      <c r="M69" s="568">
        <f t="shared" si="1"/>
        <v>0</v>
      </c>
      <c r="N69" s="230">
        <f t="shared" si="1"/>
        <v>0</v>
      </c>
    </row>
    <row r="70" spans="1:14" x14ac:dyDescent="0.25">
      <c r="B70" s="1027" t="s">
        <v>1922</v>
      </c>
      <c r="C70" s="1027"/>
      <c r="F70" s="48"/>
    </row>
    <row r="71" spans="1:14" x14ac:dyDescent="0.25">
      <c r="B71" s="42" t="s">
        <v>409</v>
      </c>
    </row>
    <row r="72" spans="1:14" x14ac:dyDescent="0.25">
      <c r="B72" s="42"/>
    </row>
    <row r="73" spans="1:14" x14ac:dyDescent="0.25">
      <c r="B73" s="37"/>
    </row>
    <row r="74" spans="1:14" x14ac:dyDescent="0.25">
      <c r="A74" s="43"/>
      <c r="B74" s="15" t="s">
        <v>811</v>
      </c>
      <c r="C74" s="15"/>
      <c r="D74" s="15"/>
    </row>
    <row r="75" spans="1:14" x14ac:dyDescent="0.25">
      <c r="B75" s="777" t="s">
        <v>2</v>
      </c>
      <c r="C75" s="777"/>
      <c r="D75" s="777" t="s">
        <v>397</v>
      </c>
      <c r="E75" s="777"/>
      <c r="F75" s="777" t="s">
        <v>398</v>
      </c>
      <c r="G75" s="777" t="s">
        <v>399</v>
      </c>
      <c r="H75" s="777"/>
      <c r="I75" s="777" t="s">
        <v>175</v>
      </c>
      <c r="J75" s="777"/>
      <c r="K75" s="777"/>
      <c r="L75" s="777"/>
      <c r="M75" s="777"/>
      <c r="N75" s="777"/>
    </row>
    <row r="76" spans="1:14" x14ac:dyDescent="0.25">
      <c r="B76" s="778"/>
      <c r="C76" s="778"/>
      <c r="D76" s="778"/>
      <c r="E76" s="778"/>
      <c r="F76" s="778"/>
      <c r="G76" s="778"/>
      <c r="H76" s="778"/>
      <c r="I76" s="200" t="s">
        <v>5</v>
      </c>
      <c r="J76" s="200" t="s">
        <v>6</v>
      </c>
      <c r="K76" s="200" t="s">
        <v>888</v>
      </c>
      <c r="L76" s="200" t="s">
        <v>953</v>
      </c>
      <c r="M76" s="200" t="s">
        <v>1125</v>
      </c>
      <c r="N76" s="200" t="s">
        <v>1229</v>
      </c>
    </row>
    <row r="77" spans="1:14" ht="31.5" customHeight="1" thickBot="1" x14ac:dyDescent="0.3">
      <c r="B77" s="1168" t="s">
        <v>7</v>
      </c>
      <c r="C77" s="1168"/>
      <c r="D77" s="1169" t="s">
        <v>400</v>
      </c>
      <c r="E77" s="1169"/>
      <c r="F77" s="227" t="s">
        <v>401</v>
      </c>
      <c r="G77" s="1170" t="s">
        <v>403</v>
      </c>
      <c r="H77" s="1170"/>
      <c r="I77" s="227">
        <v>1</v>
      </c>
      <c r="J77" s="227">
        <v>0</v>
      </c>
      <c r="K77" s="227">
        <v>0</v>
      </c>
      <c r="L77" s="227">
        <v>1</v>
      </c>
      <c r="M77" s="227">
        <v>0</v>
      </c>
      <c r="N77" s="227">
        <v>1</v>
      </c>
    </row>
    <row r="78" spans="1:14" ht="31.5" customHeight="1" thickBot="1" x14ac:dyDescent="0.3">
      <c r="B78" s="1168"/>
      <c r="C78" s="1168"/>
      <c r="D78" s="1169" t="s">
        <v>400</v>
      </c>
      <c r="E78" s="1169"/>
      <c r="F78" s="227" t="s">
        <v>401</v>
      </c>
      <c r="G78" s="1170" t="s">
        <v>402</v>
      </c>
      <c r="H78" s="1170"/>
      <c r="I78" s="227">
        <v>1</v>
      </c>
      <c r="J78" s="227">
        <v>0</v>
      </c>
      <c r="K78" s="227">
        <v>0</v>
      </c>
      <c r="L78" s="227">
        <v>1</v>
      </c>
      <c r="M78" s="227">
        <v>0</v>
      </c>
      <c r="N78" s="227">
        <v>0</v>
      </c>
    </row>
    <row r="79" spans="1:14" ht="31.5" customHeight="1" x14ac:dyDescent="0.25">
      <c r="B79" s="1168"/>
      <c r="C79" s="1168"/>
      <c r="D79" s="1188" t="s">
        <v>406</v>
      </c>
      <c r="E79" s="1188"/>
      <c r="F79" s="155" t="s">
        <v>786</v>
      </c>
      <c r="G79" s="1167" t="s">
        <v>785</v>
      </c>
      <c r="H79" s="1167"/>
      <c r="I79" s="155">
        <v>0</v>
      </c>
      <c r="J79" s="155">
        <v>3</v>
      </c>
      <c r="K79" s="155">
        <v>3</v>
      </c>
      <c r="L79" s="155">
        <v>0</v>
      </c>
      <c r="M79" s="155">
        <v>3</v>
      </c>
      <c r="N79" s="155">
        <v>0</v>
      </c>
    </row>
    <row r="80" spans="1:14" ht="15.75" thickBot="1" x14ac:dyDescent="0.3">
      <c r="B80" s="1164" t="s">
        <v>77</v>
      </c>
      <c r="C80" s="1164"/>
      <c r="D80" s="1164"/>
      <c r="E80" s="1164"/>
      <c r="F80" s="1164"/>
      <c r="G80" s="1164"/>
      <c r="H80" s="1164"/>
      <c r="I80" s="230">
        <f t="shared" ref="I80:N80" si="2">SUM(I77:I79)</f>
        <v>2</v>
      </c>
      <c r="J80" s="230">
        <f t="shared" si="2"/>
        <v>3</v>
      </c>
      <c r="K80" s="230">
        <f t="shared" si="2"/>
        <v>3</v>
      </c>
      <c r="L80" s="230">
        <f t="shared" si="2"/>
        <v>2</v>
      </c>
      <c r="M80" s="230">
        <f t="shared" si="2"/>
        <v>3</v>
      </c>
      <c r="N80" s="230">
        <f t="shared" si="2"/>
        <v>1</v>
      </c>
    </row>
    <row r="81" spans="1:14" ht="29.25" customHeight="1" thickBot="1" x14ac:dyDescent="0.3">
      <c r="B81" s="1168" t="s">
        <v>8</v>
      </c>
      <c r="C81" s="1168"/>
      <c r="D81" s="1169" t="s">
        <v>400</v>
      </c>
      <c r="E81" s="1169"/>
      <c r="F81" s="227" t="s">
        <v>401</v>
      </c>
      <c r="G81" s="1198" t="s">
        <v>403</v>
      </c>
      <c r="H81" s="1198"/>
      <c r="I81" s="532">
        <v>0</v>
      </c>
      <c r="J81" s="532">
        <v>0</v>
      </c>
      <c r="K81" s="532">
        <v>0</v>
      </c>
      <c r="L81" s="532">
        <v>0</v>
      </c>
      <c r="M81" s="532">
        <v>2</v>
      </c>
      <c r="N81" s="532">
        <v>0</v>
      </c>
    </row>
    <row r="82" spans="1:14" ht="15.75" thickBot="1" x14ac:dyDescent="0.3">
      <c r="B82" s="1164" t="s">
        <v>77</v>
      </c>
      <c r="C82" s="1164"/>
      <c r="D82" s="1164"/>
      <c r="E82" s="1164"/>
      <c r="F82" s="1164"/>
      <c r="G82" s="1164"/>
      <c r="H82" s="1164"/>
      <c r="I82" s="230">
        <f>SUM(I81)</f>
        <v>0</v>
      </c>
      <c r="J82" s="230">
        <f>SUM(J81)</f>
        <v>0</v>
      </c>
      <c r="K82" s="230">
        <f>SUM(K81)</f>
        <v>0</v>
      </c>
      <c r="L82" s="230">
        <f>SUM(L81)</f>
        <v>0</v>
      </c>
      <c r="M82" s="230">
        <v>2</v>
      </c>
      <c r="N82" s="230">
        <v>0</v>
      </c>
    </row>
    <row r="83" spans="1:14" x14ac:dyDescent="0.25">
      <c r="B83" s="1027" t="s">
        <v>1922</v>
      </c>
      <c r="C83" s="1027"/>
      <c r="D83" s="48"/>
    </row>
    <row r="84" spans="1:14" x14ac:dyDescent="0.25">
      <c r="B84" s="44" t="s">
        <v>410</v>
      </c>
      <c r="C84" s="44"/>
    </row>
    <row r="85" spans="1:14" x14ac:dyDescent="0.25">
      <c r="B85" s="37"/>
    </row>
    <row r="86" spans="1:14" x14ac:dyDescent="0.25">
      <c r="B86" s="37"/>
    </row>
    <row r="87" spans="1:14" x14ac:dyDescent="0.25">
      <c r="B87" s="159" t="s">
        <v>636</v>
      </c>
      <c r="G87" s="45"/>
    </row>
    <row r="88" spans="1:14" x14ac:dyDescent="0.25">
      <c r="B88" s="37"/>
      <c r="G88" s="45"/>
    </row>
    <row r="89" spans="1:14" x14ac:dyDescent="0.25">
      <c r="A89" s="43"/>
      <c r="B89" s="45" t="s">
        <v>812</v>
      </c>
      <c r="F89" s="48"/>
    </row>
    <row r="90" spans="1:14" ht="15" customHeight="1" x14ac:dyDescent="0.25">
      <c r="B90" s="778" t="s">
        <v>2</v>
      </c>
      <c r="C90" s="778"/>
      <c r="D90" s="778" t="s">
        <v>411</v>
      </c>
      <c r="E90" s="778"/>
      <c r="F90" s="778" t="s">
        <v>882</v>
      </c>
      <c r="G90" s="778"/>
      <c r="H90" s="778" t="s">
        <v>883</v>
      </c>
      <c r="I90" s="778"/>
      <c r="J90" s="778" t="s">
        <v>412</v>
      </c>
      <c r="K90" s="778"/>
    </row>
    <row r="91" spans="1:14" ht="15.75" thickBot="1" x14ac:dyDescent="0.3">
      <c r="B91" s="1165" t="s">
        <v>7</v>
      </c>
      <c r="C91" s="1165"/>
      <c r="D91" s="1189" t="s">
        <v>51</v>
      </c>
      <c r="E91" s="1189"/>
      <c r="F91" s="1135" t="s">
        <v>51</v>
      </c>
      <c r="G91" s="1135"/>
      <c r="H91" s="1135" t="s">
        <v>51</v>
      </c>
      <c r="I91" s="1135"/>
      <c r="J91" s="1135" t="s">
        <v>51</v>
      </c>
      <c r="K91" s="1136"/>
    </row>
    <row r="92" spans="1:14" ht="15.75" thickBot="1" x14ac:dyDescent="0.3">
      <c r="B92" s="1140" t="s">
        <v>8</v>
      </c>
      <c r="C92" s="1140"/>
      <c r="D92" s="1199" t="s">
        <v>1907</v>
      </c>
      <c r="E92" s="1199"/>
      <c r="F92" s="1195" t="s">
        <v>1908</v>
      </c>
      <c r="G92" s="1195"/>
      <c r="H92" s="1195" t="s">
        <v>1902</v>
      </c>
      <c r="I92" s="1195"/>
      <c r="J92" s="1195" t="s">
        <v>1909</v>
      </c>
      <c r="K92" s="1196"/>
    </row>
    <row r="93" spans="1:14" x14ac:dyDescent="0.25">
      <c r="B93" s="1027" t="s">
        <v>1922</v>
      </c>
      <c r="C93" s="1027"/>
      <c r="D93" s="1197"/>
      <c r="E93" s="1197"/>
      <c r="F93" s="2"/>
      <c r="G93" s="569"/>
      <c r="H93" s="2"/>
      <c r="I93" s="2"/>
      <c r="J93" s="2"/>
      <c r="K93" s="2"/>
      <c r="L93" s="394"/>
    </row>
    <row r="94" spans="1:14" x14ac:dyDescent="0.25">
      <c r="B94" s="44" t="s">
        <v>379</v>
      </c>
      <c r="C94" s="44"/>
      <c r="D94" s="1188"/>
      <c r="E94" s="1188"/>
      <c r="F94" s="2"/>
      <c r="G94" s="2"/>
      <c r="H94" s="2"/>
      <c r="I94" s="2"/>
      <c r="J94" s="2"/>
      <c r="K94" s="2"/>
      <c r="L94" s="394"/>
    </row>
    <row r="95" spans="1:14" x14ac:dyDescent="0.25">
      <c r="B95" s="40"/>
      <c r="C95" s="40"/>
      <c r="D95" s="40"/>
    </row>
    <row r="96" spans="1:14" x14ac:dyDescent="0.25">
      <c r="C96" s="40"/>
      <c r="D96" s="40"/>
    </row>
    <row r="97" spans="1:37" x14ac:dyDescent="0.25">
      <c r="B97" s="661" t="s">
        <v>1021</v>
      </c>
      <c r="C97" s="518"/>
      <c r="D97" s="518"/>
      <c r="E97" s="518"/>
      <c r="F97" s="518"/>
      <c r="G97" s="518"/>
      <c r="W97" s="518"/>
    </row>
    <row r="98" spans="1:37" ht="15" customHeight="1" x14ac:dyDescent="0.25">
      <c r="B98" s="45"/>
      <c r="G98" s="778" t="s">
        <v>884</v>
      </c>
      <c r="H98" s="778"/>
      <c r="I98" s="778"/>
      <c r="J98" s="778"/>
      <c r="K98" s="778"/>
      <c r="L98" s="778" t="s">
        <v>8</v>
      </c>
      <c r="M98" s="778"/>
      <c r="N98" s="778"/>
      <c r="O98" s="778"/>
      <c r="P98" s="778"/>
      <c r="Q98" s="778" t="s">
        <v>997</v>
      </c>
      <c r="R98" s="778"/>
      <c r="S98" s="778"/>
      <c r="T98" s="778"/>
      <c r="U98" s="778"/>
    </row>
    <row r="99" spans="1:37" ht="33" customHeight="1" x14ac:dyDescent="0.25">
      <c r="B99" s="777" t="s">
        <v>413</v>
      </c>
      <c r="C99" s="777"/>
      <c r="D99" s="777" t="s">
        <v>31</v>
      </c>
      <c r="E99" s="777"/>
      <c r="F99" s="777"/>
      <c r="G99" s="468" t="s">
        <v>29</v>
      </c>
      <c r="H99" s="200" t="s">
        <v>28</v>
      </c>
      <c r="I99" s="200" t="s">
        <v>970</v>
      </c>
      <c r="J99" s="803" t="s">
        <v>985</v>
      </c>
      <c r="K99" s="803"/>
      <c r="L99" s="468" t="s">
        <v>29</v>
      </c>
      <c r="M99" s="200" t="s">
        <v>28</v>
      </c>
      <c r="N99" s="200" t="s">
        <v>970</v>
      </c>
      <c r="O99" s="777" t="s">
        <v>985</v>
      </c>
      <c r="P99" s="777"/>
      <c r="Q99" s="468" t="s">
        <v>29</v>
      </c>
      <c r="R99" s="200" t="s">
        <v>28</v>
      </c>
      <c r="S99" s="200" t="s">
        <v>970</v>
      </c>
      <c r="T99" s="777" t="s">
        <v>985</v>
      </c>
      <c r="U99" s="777"/>
    </row>
    <row r="100" spans="1:37" s="410" customFormat="1" ht="15" customHeight="1" x14ac:dyDescent="0.25">
      <c r="B100" s="1154" t="s">
        <v>422</v>
      </c>
      <c r="C100" s="1154"/>
      <c r="D100" s="1154"/>
      <c r="E100" s="1154"/>
      <c r="F100" s="1154"/>
      <c r="G100" s="411">
        <v>5</v>
      </c>
      <c r="H100" s="471">
        <v>16</v>
      </c>
      <c r="I100" s="471" t="s">
        <v>51</v>
      </c>
      <c r="J100" s="1154">
        <v>21</v>
      </c>
      <c r="K100" s="1154"/>
      <c r="L100" s="411">
        <v>7</v>
      </c>
      <c r="M100" s="471">
        <v>16</v>
      </c>
      <c r="N100" s="471" t="s">
        <v>51</v>
      </c>
      <c r="O100" s="1154">
        <v>23</v>
      </c>
      <c r="P100" s="1154"/>
      <c r="Q100" s="411">
        <v>5</v>
      </c>
      <c r="R100" s="471">
        <v>4</v>
      </c>
      <c r="S100" s="471">
        <v>1</v>
      </c>
      <c r="T100" s="1154">
        <v>10</v>
      </c>
      <c r="U100" s="1154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</row>
    <row r="101" spans="1:37" ht="42" customHeight="1" thickBot="1" x14ac:dyDescent="0.3">
      <c r="A101" s="1134"/>
      <c r="B101" s="1186" t="s">
        <v>1141</v>
      </c>
      <c r="C101" s="1186"/>
      <c r="D101" s="1030" t="s">
        <v>420</v>
      </c>
      <c r="E101" s="1030"/>
      <c r="F101" s="1030"/>
      <c r="G101" s="691" t="s">
        <v>428</v>
      </c>
      <c r="H101" s="692" t="s">
        <v>1264</v>
      </c>
      <c r="I101" s="692" t="s">
        <v>51</v>
      </c>
      <c r="J101" s="1137" t="s">
        <v>1261</v>
      </c>
      <c r="K101" s="1137"/>
      <c r="L101" s="691" t="s">
        <v>1261</v>
      </c>
      <c r="M101" s="692" t="s">
        <v>1011</v>
      </c>
      <c r="N101" s="692" t="s">
        <v>51</v>
      </c>
      <c r="O101" s="1138" t="s">
        <v>1266</v>
      </c>
      <c r="P101" s="1138"/>
      <c r="Q101" s="691" t="s">
        <v>427</v>
      </c>
      <c r="R101" s="692" t="s">
        <v>1011</v>
      </c>
      <c r="S101" s="692" t="s">
        <v>428</v>
      </c>
      <c r="T101" s="1138" t="s">
        <v>427</v>
      </c>
      <c r="U101" s="1138"/>
    </row>
    <row r="102" spans="1:37" ht="42" customHeight="1" thickBot="1" x14ac:dyDescent="0.3">
      <c r="A102" s="1134"/>
      <c r="B102" s="1186"/>
      <c r="C102" s="1186"/>
      <c r="D102" s="1030" t="s">
        <v>630</v>
      </c>
      <c r="E102" s="1030"/>
      <c r="F102" s="1030"/>
      <c r="G102" s="691" t="s">
        <v>428</v>
      </c>
      <c r="H102" s="692" t="s">
        <v>1265</v>
      </c>
      <c r="I102" s="692" t="s">
        <v>51</v>
      </c>
      <c r="J102" s="1137" t="s">
        <v>1262</v>
      </c>
      <c r="K102" s="1137"/>
      <c r="L102" s="691" t="s">
        <v>1261</v>
      </c>
      <c r="M102" s="692" t="s">
        <v>1011</v>
      </c>
      <c r="N102" s="692" t="s">
        <v>51</v>
      </c>
      <c r="O102" s="1138" t="s">
        <v>1266</v>
      </c>
      <c r="P102" s="1138"/>
      <c r="Q102" s="691" t="s">
        <v>427</v>
      </c>
      <c r="R102" s="692" t="s">
        <v>1011</v>
      </c>
      <c r="S102" s="692" t="s">
        <v>428</v>
      </c>
      <c r="T102" s="1138" t="s">
        <v>427</v>
      </c>
      <c r="U102" s="1138"/>
    </row>
    <row r="103" spans="1:37" ht="42" customHeight="1" thickBot="1" x14ac:dyDescent="0.3">
      <c r="A103" s="1134"/>
      <c r="B103" s="1200"/>
      <c r="C103" s="1200"/>
      <c r="D103" s="1201" t="s">
        <v>1143</v>
      </c>
      <c r="E103" s="1201"/>
      <c r="F103" s="1201"/>
      <c r="G103" s="693">
        <v>6</v>
      </c>
      <c r="H103" s="694">
        <v>7.1</v>
      </c>
      <c r="I103" s="695" t="s">
        <v>51</v>
      </c>
      <c r="J103" s="1202">
        <v>6.8</v>
      </c>
      <c r="K103" s="1202"/>
      <c r="L103" s="693">
        <v>7.3</v>
      </c>
      <c r="M103" s="695">
        <v>6.4</v>
      </c>
      <c r="N103" s="695" t="s">
        <v>51</v>
      </c>
      <c r="O103" s="1203">
        <v>6.65</v>
      </c>
      <c r="P103" s="1203"/>
      <c r="Q103" s="693">
        <v>7.2</v>
      </c>
      <c r="R103" s="695">
        <v>8.1999999999999993</v>
      </c>
      <c r="S103" s="695">
        <v>10</v>
      </c>
      <c r="T103" s="1203">
        <v>7.9</v>
      </c>
      <c r="U103" s="1203"/>
    </row>
    <row r="104" spans="1:37" ht="27.75" hidden="1" customHeight="1" thickBot="1" x14ac:dyDescent="0.3">
      <c r="A104" s="1134"/>
      <c r="B104" s="1185" t="s">
        <v>414</v>
      </c>
      <c r="C104" s="1185"/>
      <c r="D104" s="1161" t="s">
        <v>975</v>
      </c>
      <c r="E104" s="1161"/>
      <c r="F104" s="1161"/>
      <c r="G104" s="696"/>
      <c r="H104" s="697"/>
      <c r="I104" s="697"/>
      <c r="J104" s="1205"/>
      <c r="K104" s="1205"/>
      <c r="L104" s="696"/>
      <c r="M104" s="697"/>
      <c r="N104" s="697"/>
      <c r="O104" s="1137"/>
      <c r="P104" s="1137"/>
      <c r="Q104" s="696"/>
      <c r="R104" s="697"/>
      <c r="S104" s="697"/>
      <c r="T104" s="1137"/>
      <c r="U104" s="1137"/>
    </row>
    <row r="105" spans="1:37" ht="27.75" customHeight="1" thickBot="1" x14ac:dyDescent="0.3">
      <c r="A105" s="1134"/>
      <c r="B105" s="1186"/>
      <c r="C105" s="1186"/>
      <c r="D105" s="1206" t="s">
        <v>627</v>
      </c>
      <c r="E105" s="1206"/>
      <c r="F105" s="1206"/>
      <c r="G105" s="696" t="s">
        <v>1017</v>
      </c>
      <c r="H105" s="697" t="s">
        <v>633</v>
      </c>
      <c r="I105" s="697" t="s">
        <v>51</v>
      </c>
      <c r="J105" s="1204" t="s">
        <v>1263</v>
      </c>
      <c r="K105" s="1204"/>
      <c r="L105" s="696" t="s">
        <v>1154</v>
      </c>
      <c r="M105" s="697" t="s">
        <v>1268</v>
      </c>
      <c r="N105" s="697" t="s">
        <v>51</v>
      </c>
      <c r="O105" s="1204" t="s">
        <v>1267</v>
      </c>
      <c r="P105" s="1204"/>
      <c r="Q105" s="696" t="s">
        <v>986</v>
      </c>
      <c r="R105" s="697" t="s">
        <v>986</v>
      </c>
      <c r="S105" s="697" t="s">
        <v>428</v>
      </c>
      <c r="T105" s="1204" t="s">
        <v>1195</v>
      </c>
      <c r="U105" s="1204"/>
    </row>
    <row r="106" spans="1:37" ht="31.5" hidden="1" customHeight="1" thickBot="1" x14ac:dyDescent="0.3">
      <c r="A106" s="1134"/>
      <c r="B106" s="1186"/>
      <c r="C106" s="1186"/>
      <c r="D106" s="1161" t="s">
        <v>628</v>
      </c>
      <c r="E106" s="1161"/>
      <c r="F106" s="1161"/>
      <c r="G106" s="696"/>
      <c r="H106" s="697"/>
      <c r="I106" s="697"/>
      <c r="J106" s="1204"/>
      <c r="K106" s="1204"/>
      <c r="L106" s="696"/>
      <c r="M106" s="697"/>
      <c r="N106" s="697"/>
      <c r="O106" s="1137"/>
      <c r="P106" s="1137"/>
      <c r="Q106" s="696"/>
      <c r="R106" s="697"/>
      <c r="S106" s="697"/>
      <c r="T106" s="1137"/>
      <c r="U106" s="1137"/>
    </row>
    <row r="107" spans="1:37" ht="25.5" hidden="1" customHeight="1" thickBot="1" x14ac:dyDescent="0.3">
      <c r="A107" s="1134"/>
      <c r="B107" s="1186"/>
      <c r="C107" s="1186"/>
      <c r="D107" s="1190" t="s">
        <v>976</v>
      </c>
      <c r="E107" s="1190"/>
      <c r="F107" s="1190"/>
      <c r="G107" s="698"/>
      <c r="H107" s="699"/>
      <c r="I107" s="697"/>
      <c r="J107" s="1191"/>
      <c r="K107" s="1191"/>
      <c r="L107" s="698"/>
      <c r="M107" s="699"/>
      <c r="N107" s="697"/>
      <c r="O107" s="1191"/>
      <c r="P107" s="1191"/>
      <c r="Q107" s="698"/>
      <c r="R107" s="699"/>
      <c r="S107" s="697"/>
      <c r="T107" s="1191"/>
      <c r="U107" s="1191"/>
    </row>
    <row r="108" spans="1:37" ht="31.5" customHeight="1" thickBot="1" x14ac:dyDescent="0.3">
      <c r="A108" s="1134"/>
      <c r="B108" s="1186"/>
      <c r="C108" s="1186"/>
      <c r="D108" s="1206" t="s">
        <v>977</v>
      </c>
      <c r="E108" s="1206"/>
      <c r="F108" s="1206"/>
      <c r="G108" s="700">
        <v>8.3000000000000007</v>
      </c>
      <c r="H108" s="701">
        <v>7.5</v>
      </c>
      <c r="I108" s="697" t="s">
        <v>51</v>
      </c>
      <c r="J108" s="1139">
        <v>7.8</v>
      </c>
      <c r="K108" s="1139"/>
      <c r="L108" s="700">
        <v>5</v>
      </c>
      <c r="M108" s="701">
        <v>8.8000000000000007</v>
      </c>
      <c r="N108" s="697" t="s">
        <v>51</v>
      </c>
      <c r="O108" s="1207">
        <v>8.1999999999999993</v>
      </c>
      <c r="P108" s="1207"/>
      <c r="Q108" s="696" t="s">
        <v>51</v>
      </c>
      <c r="R108" s="701" t="s">
        <v>51</v>
      </c>
      <c r="S108" s="697">
        <v>10</v>
      </c>
      <c r="T108" s="1139">
        <v>10</v>
      </c>
      <c r="U108" s="1139"/>
    </row>
    <row r="109" spans="1:37" ht="42" hidden="1" customHeight="1" thickBot="1" x14ac:dyDescent="0.3">
      <c r="A109" s="1134"/>
      <c r="B109" s="1186"/>
      <c r="C109" s="1186"/>
      <c r="D109" s="1161" t="s">
        <v>978</v>
      </c>
      <c r="E109" s="1161"/>
      <c r="F109" s="1161"/>
      <c r="G109" s="700"/>
      <c r="H109" s="701"/>
      <c r="I109" s="697"/>
      <c r="J109" s="1139"/>
      <c r="K109" s="1139"/>
      <c r="L109" s="696"/>
      <c r="M109" s="697"/>
      <c r="N109" s="697"/>
      <c r="O109" s="1207"/>
      <c r="P109" s="1207"/>
      <c r="Q109" s="696"/>
      <c r="R109" s="697"/>
      <c r="S109" s="697"/>
      <c r="T109" s="1139"/>
      <c r="U109" s="1139"/>
    </row>
    <row r="110" spans="1:37" ht="31.5" hidden="1" customHeight="1" thickBot="1" x14ac:dyDescent="0.3">
      <c r="A110" s="1134"/>
      <c r="B110" s="1186"/>
      <c r="C110" s="1186"/>
      <c r="D110" s="1161" t="s">
        <v>979</v>
      </c>
      <c r="E110" s="1161"/>
      <c r="F110" s="1161"/>
      <c r="G110" s="700"/>
      <c r="H110" s="701"/>
      <c r="I110" s="697"/>
      <c r="J110" s="1139"/>
      <c r="K110" s="1139"/>
      <c r="L110" s="696"/>
      <c r="M110" s="702"/>
      <c r="N110" s="697"/>
      <c r="O110" s="1139"/>
      <c r="P110" s="1139"/>
      <c r="Q110" s="696"/>
      <c r="R110" s="702"/>
      <c r="S110" s="697"/>
      <c r="T110" s="1207"/>
      <c r="U110" s="1207"/>
    </row>
    <row r="111" spans="1:37" ht="42" hidden="1" customHeight="1" thickBot="1" x14ac:dyDescent="0.3">
      <c r="A111" s="1134"/>
      <c r="B111" s="1186"/>
      <c r="C111" s="1186"/>
      <c r="D111" s="1161" t="s">
        <v>980</v>
      </c>
      <c r="E111" s="1161"/>
      <c r="F111" s="1161"/>
      <c r="G111" s="696"/>
      <c r="H111" s="701"/>
      <c r="I111" s="697"/>
      <c r="J111" s="1139"/>
      <c r="K111" s="1139"/>
      <c r="L111" s="696"/>
      <c r="M111" s="697"/>
      <c r="N111" s="697"/>
      <c r="O111" s="1139"/>
      <c r="P111" s="1139"/>
      <c r="Q111" s="696"/>
      <c r="R111" s="697"/>
      <c r="S111" s="697"/>
      <c r="T111" s="1139"/>
      <c r="U111" s="1139"/>
    </row>
    <row r="112" spans="1:37" ht="15" customHeight="1" thickBot="1" x14ac:dyDescent="0.3">
      <c r="A112" s="1134"/>
      <c r="B112" s="1186"/>
      <c r="C112" s="1186"/>
      <c r="D112" s="1206" t="s">
        <v>981</v>
      </c>
      <c r="E112" s="1206"/>
      <c r="F112" s="1206"/>
      <c r="G112" s="700">
        <v>5.3</v>
      </c>
      <c r="H112" s="701">
        <v>5.5</v>
      </c>
      <c r="I112" s="697" t="s">
        <v>51</v>
      </c>
      <c r="J112" s="1139">
        <v>5.4</v>
      </c>
      <c r="K112" s="1139"/>
      <c r="L112" s="700">
        <v>8</v>
      </c>
      <c r="M112" s="701">
        <v>9.1999999999999993</v>
      </c>
      <c r="N112" s="697" t="s">
        <v>51</v>
      </c>
      <c r="O112" s="1139">
        <v>8.5</v>
      </c>
      <c r="P112" s="1139"/>
      <c r="Q112" s="696" t="s">
        <v>51</v>
      </c>
      <c r="R112" s="701" t="s">
        <v>51</v>
      </c>
      <c r="S112" s="697">
        <v>10</v>
      </c>
      <c r="T112" s="1139">
        <v>10</v>
      </c>
      <c r="U112" s="1139"/>
    </row>
    <row r="113" spans="1:37" ht="31.5" hidden="1" customHeight="1" thickBot="1" x14ac:dyDescent="0.3">
      <c r="A113" s="678"/>
      <c r="B113" s="1186"/>
      <c r="C113" s="1186"/>
      <c r="D113" s="1161" t="s">
        <v>982</v>
      </c>
      <c r="E113" s="1161"/>
      <c r="F113" s="1161"/>
      <c r="G113" s="491"/>
      <c r="H113" s="492"/>
      <c r="I113" s="490"/>
      <c r="J113" s="1159"/>
      <c r="K113" s="1159"/>
      <c r="L113" s="489"/>
      <c r="M113" s="490"/>
      <c r="N113" s="490"/>
      <c r="O113" s="1159"/>
      <c r="P113" s="1159"/>
      <c r="Q113" s="489"/>
      <c r="R113" s="490"/>
      <c r="S113" s="490"/>
      <c r="T113" s="1213"/>
      <c r="U113" s="1213"/>
    </row>
    <row r="114" spans="1:37" ht="31.5" hidden="1" customHeight="1" thickBot="1" x14ac:dyDescent="0.3">
      <c r="A114" s="678"/>
      <c r="B114" s="1186"/>
      <c r="C114" s="1186"/>
      <c r="D114" s="1161" t="s">
        <v>629</v>
      </c>
      <c r="E114" s="1161"/>
      <c r="F114" s="1161"/>
      <c r="G114" s="489"/>
      <c r="H114" s="490"/>
      <c r="I114" s="490"/>
      <c r="J114" s="1214"/>
      <c r="K114" s="1214"/>
      <c r="L114" s="489"/>
      <c r="M114" s="490"/>
      <c r="N114" s="490"/>
      <c r="O114" s="1160"/>
      <c r="P114" s="1160"/>
      <c r="Q114" s="489"/>
      <c r="R114" s="490"/>
      <c r="S114" s="490"/>
      <c r="T114" s="1160"/>
      <c r="U114" s="1160"/>
    </row>
    <row r="115" spans="1:37" ht="31.5" hidden="1" customHeight="1" x14ac:dyDescent="0.25">
      <c r="A115" s="678"/>
      <c r="B115" s="1187"/>
      <c r="C115" s="1187"/>
      <c r="D115" s="1212" t="s">
        <v>983</v>
      </c>
      <c r="E115" s="1212"/>
      <c r="F115" s="1212"/>
      <c r="G115" s="493"/>
      <c r="H115" s="494"/>
      <c r="I115" s="494"/>
      <c r="J115" s="1215"/>
      <c r="K115" s="1215"/>
      <c r="L115" s="493"/>
      <c r="M115" s="494"/>
      <c r="N115" s="494"/>
      <c r="O115" s="1216"/>
      <c r="P115" s="1216"/>
      <c r="Q115" s="493"/>
      <c r="R115" s="494"/>
      <c r="S115" s="494"/>
      <c r="T115" s="1216"/>
      <c r="U115" s="1216"/>
    </row>
    <row r="116" spans="1:37" s="410" customFormat="1" ht="15" customHeight="1" x14ac:dyDescent="0.25">
      <c r="A116" s="679"/>
      <c r="B116" s="1154" t="s">
        <v>422</v>
      </c>
      <c r="C116" s="1154"/>
      <c r="D116" s="1154"/>
      <c r="E116" s="1154"/>
      <c r="F116" s="1154"/>
      <c r="G116" s="411">
        <v>64</v>
      </c>
      <c r="H116" s="471">
        <v>190</v>
      </c>
      <c r="I116" s="471" t="s">
        <v>51</v>
      </c>
      <c r="J116" s="1154">
        <v>254</v>
      </c>
      <c r="K116" s="1154"/>
      <c r="L116" s="411">
        <v>481</v>
      </c>
      <c r="M116" s="471">
        <v>425</v>
      </c>
      <c r="N116" s="471">
        <v>5</v>
      </c>
      <c r="O116" s="1154">
        <v>911</v>
      </c>
      <c r="P116" s="1154"/>
      <c r="Q116" s="411">
        <v>29</v>
      </c>
      <c r="R116" s="471">
        <v>35</v>
      </c>
      <c r="S116" s="471">
        <v>0</v>
      </c>
      <c r="T116" s="1154">
        <v>64</v>
      </c>
      <c r="U116" s="1154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</row>
    <row r="117" spans="1:37" ht="52.5" customHeight="1" thickBot="1" x14ac:dyDescent="0.3">
      <c r="A117" s="1208"/>
      <c r="B117" s="1186" t="s">
        <v>415</v>
      </c>
      <c r="C117" s="1186"/>
      <c r="D117" s="1030" t="s">
        <v>416</v>
      </c>
      <c r="E117" s="1030"/>
      <c r="F117" s="1030"/>
      <c r="G117" s="497">
        <v>8</v>
      </c>
      <c r="H117" s="498">
        <v>7.8</v>
      </c>
      <c r="I117" s="692" t="s">
        <v>51</v>
      </c>
      <c r="J117" s="1210">
        <v>7.9</v>
      </c>
      <c r="K117" s="1210"/>
      <c r="L117" s="497">
        <v>8.4</v>
      </c>
      <c r="M117" s="498">
        <v>8.1999999999999993</v>
      </c>
      <c r="N117" s="498">
        <v>6.6</v>
      </c>
      <c r="O117" s="1210">
        <v>8.3000000000000007</v>
      </c>
      <c r="P117" s="1210"/>
      <c r="Q117" s="497">
        <v>9</v>
      </c>
      <c r="R117" s="498">
        <v>8.6999999999999993</v>
      </c>
      <c r="S117" s="692" t="s">
        <v>51</v>
      </c>
      <c r="T117" s="1210">
        <v>8.9</v>
      </c>
      <c r="U117" s="1210"/>
    </row>
    <row r="118" spans="1:37" ht="42" customHeight="1" thickBot="1" x14ac:dyDescent="0.3">
      <c r="A118" s="1209"/>
      <c r="B118" s="1186"/>
      <c r="C118" s="1186"/>
      <c r="D118" s="1206" t="s">
        <v>417</v>
      </c>
      <c r="E118" s="1206"/>
      <c r="F118" s="1206"/>
      <c r="G118" s="700">
        <v>8.4</v>
      </c>
      <c r="H118" s="701">
        <v>7.8</v>
      </c>
      <c r="I118" s="697" t="s">
        <v>51</v>
      </c>
      <c r="J118" s="1139">
        <v>8</v>
      </c>
      <c r="K118" s="1139"/>
      <c r="L118" s="700">
        <v>8.5</v>
      </c>
      <c r="M118" s="701">
        <v>8.1999999999999993</v>
      </c>
      <c r="N118" s="701">
        <v>6.8</v>
      </c>
      <c r="O118" s="1211">
        <v>7.7</v>
      </c>
      <c r="P118" s="1211"/>
      <c r="Q118" s="700">
        <v>8.9</v>
      </c>
      <c r="R118" s="701">
        <v>8.4</v>
      </c>
      <c r="S118" s="697" t="s">
        <v>51</v>
      </c>
      <c r="T118" s="1137">
        <v>8.6</v>
      </c>
      <c r="U118" s="1137"/>
    </row>
    <row r="119" spans="1:37" ht="52.5" customHeight="1" thickBot="1" x14ac:dyDescent="0.3">
      <c r="A119" s="1209"/>
      <c r="B119" s="1186"/>
      <c r="C119" s="1186"/>
      <c r="D119" s="1206" t="s">
        <v>418</v>
      </c>
      <c r="E119" s="1206"/>
      <c r="F119" s="1206"/>
      <c r="G119" s="700">
        <v>8.3000000000000007</v>
      </c>
      <c r="H119" s="701">
        <v>7.4</v>
      </c>
      <c r="I119" s="701" t="s">
        <v>51</v>
      </c>
      <c r="J119" s="1139">
        <v>7.7</v>
      </c>
      <c r="K119" s="1139"/>
      <c r="L119" s="700">
        <v>8.4</v>
      </c>
      <c r="M119" s="701">
        <v>7.9</v>
      </c>
      <c r="N119" s="701">
        <v>7</v>
      </c>
      <c r="O119" s="1211">
        <v>7.6</v>
      </c>
      <c r="P119" s="1211"/>
      <c r="Q119" s="700">
        <v>8.6</v>
      </c>
      <c r="R119" s="701">
        <v>8.4</v>
      </c>
      <c r="S119" s="697" t="s">
        <v>51</v>
      </c>
      <c r="T119" s="1211">
        <v>8.5</v>
      </c>
      <c r="U119" s="1211"/>
    </row>
    <row r="120" spans="1:37" ht="42" customHeight="1" thickBot="1" x14ac:dyDescent="0.3">
      <c r="A120" s="1209"/>
      <c r="B120" s="1200"/>
      <c r="C120" s="1200"/>
      <c r="D120" s="1201" t="s">
        <v>419</v>
      </c>
      <c r="E120" s="1201"/>
      <c r="F120" s="1201"/>
      <c r="G120" s="704">
        <v>8.1</v>
      </c>
      <c r="H120" s="694">
        <v>7.4</v>
      </c>
      <c r="I120" s="694" t="s">
        <v>51</v>
      </c>
      <c r="J120" s="1202">
        <v>7.6</v>
      </c>
      <c r="K120" s="1202"/>
      <c r="L120" s="704">
        <v>8.3000000000000007</v>
      </c>
      <c r="M120" s="694">
        <v>7.7</v>
      </c>
      <c r="N120" s="694">
        <v>7.6</v>
      </c>
      <c r="O120" s="1203">
        <v>8</v>
      </c>
      <c r="P120" s="1203"/>
      <c r="Q120" s="704">
        <v>9</v>
      </c>
      <c r="R120" s="694">
        <v>8.6</v>
      </c>
      <c r="S120" s="705" t="s">
        <v>51</v>
      </c>
      <c r="T120" s="1203">
        <v>8.8000000000000007</v>
      </c>
      <c r="U120" s="1203"/>
    </row>
    <row r="121" spans="1:37" ht="15" customHeight="1" x14ac:dyDescent="0.25">
      <c r="B121" s="1027" t="s">
        <v>1922</v>
      </c>
      <c r="C121" s="1027"/>
      <c r="L121" s="231"/>
      <c r="M121" s="231"/>
      <c r="N121" s="231"/>
      <c r="O121" s="19"/>
    </row>
    <row r="122" spans="1:37" x14ac:dyDescent="0.25">
      <c r="B122" s="44" t="s">
        <v>421</v>
      </c>
      <c r="L122" s="814"/>
      <c r="M122" s="814"/>
      <c r="N122" s="814"/>
      <c r="O122" s="814"/>
    </row>
    <row r="123" spans="1:37" x14ac:dyDescent="0.25">
      <c r="B123" s="44" t="s">
        <v>637</v>
      </c>
      <c r="R123" s="13"/>
    </row>
    <row r="124" spans="1:37" x14ac:dyDescent="0.25">
      <c r="B124" s="44" t="s">
        <v>638</v>
      </c>
      <c r="M124" s="13"/>
      <c r="O124" s="13"/>
      <c r="P124" s="13"/>
    </row>
    <row r="125" spans="1:37" x14ac:dyDescent="0.25">
      <c r="B125" s="37"/>
      <c r="L125" s="814"/>
      <c r="M125" s="814"/>
      <c r="N125" s="814"/>
      <c r="O125" s="814"/>
    </row>
    <row r="126" spans="1:37" x14ac:dyDescent="0.25">
      <c r="B126" s="37"/>
      <c r="L126" s="814"/>
      <c r="M126" s="814"/>
      <c r="N126" s="814"/>
      <c r="O126" s="814"/>
    </row>
    <row r="127" spans="1:37" x14ac:dyDescent="0.25">
      <c r="B127" s="45"/>
      <c r="H127" s="814"/>
      <c r="I127" s="814"/>
      <c r="L127" s="814"/>
      <c r="M127" s="814"/>
      <c r="N127" s="814"/>
      <c r="O127" s="814"/>
    </row>
    <row r="128" spans="1:37" ht="15" customHeight="1" x14ac:dyDescent="0.25">
      <c r="B128" s="662" t="s">
        <v>887</v>
      </c>
      <c r="C128" s="662"/>
      <c r="D128" s="662"/>
      <c r="E128" s="662"/>
      <c r="F128" s="662"/>
      <c r="G128" s="662"/>
      <c r="H128" s="662"/>
    </row>
    <row r="129" spans="2:15" x14ac:dyDescent="0.25">
      <c r="B129" s="1192" t="s">
        <v>2</v>
      </c>
      <c r="C129" s="1192"/>
      <c r="D129" s="470" t="s">
        <v>424</v>
      </c>
      <c r="E129" s="470" t="s">
        <v>304</v>
      </c>
      <c r="F129" s="470" t="s">
        <v>422</v>
      </c>
    </row>
    <row r="130" spans="2:15" ht="15" customHeight="1" thickBot="1" x14ac:dyDescent="0.3">
      <c r="B130" s="1193" t="s">
        <v>7</v>
      </c>
      <c r="C130" s="1193"/>
      <c r="D130" s="239">
        <v>43</v>
      </c>
      <c r="E130" s="239">
        <v>5</v>
      </c>
      <c r="F130" s="235">
        <f>E130/D130</f>
        <v>0.11627906976744186</v>
      </c>
    </row>
    <row r="131" spans="2:15" ht="15" customHeight="1" thickBot="1" x14ac:dyDescent="0.3">
      <c r="B131" s="1132" t="s">
        <v>8</v>
      </c>
      <c r="C131" s="1132"/>
      <c r="D131" s="275">
        <v>75</v>
      </c>
      <c r="E131" s="275">
        <v>15</v>
      </c>
      <c r="F131" s="235">
        <f>E131/D131</f>
        <v>0.2</v>
      </c>
    </row>
    <row r="132" spans="2:15" ht="15" customHeight="1" thickBot="1" x14ac:dyDescent="0.3">
      <c r="B132" s="1133" t="s">
        <v>995</v>
      </c>
      <c r="C132" s="1133"/>
      <c r="D132" s="258">
        <v>7</v>
      </c>
      <c r="E132" s="258">
        <v>7</v>
      </c>
      <c r="F132" s="236">
        <f>E132/D132</f>
        <v>1</v>
      </c>
    </row>
    <row r="133" spans="2:15" ht="15" customHeight="1" x14ac:dyDescent="0.25">
      <c r="B133" s="234"/>
      <c r="C133" s="234"/>
      <c r="D133" s="495"/>
      <c r="E133" s="232"/>
    </row>
    <row r="134" spans="2:15" x14ac:dyDescent="0.25">
      <c r="B134" s="37"/>
      <c r="C134" s="224"/>
      <c r="D134" s="224"/>
      <c r="H134" s="13"/>
      <c r="L134" s="814"/>
      <c r="M134" s="814"/>
      <c r="N134" s="814"/>
      <c r="O134" s="814"/>
    </row>
    <row r="135" spans="2:15" ht="15" customHeight="1" x14ac:dyDescent="0.25">
      <c r="B135" s="225"/>
      <c r="D135" s="1158" t="s">
        <v>423</v>
      </c>
      <c r="E135" s="1158"/>
      <c r="F135" s="1158"/>
      <c r="G135" s="1158"/>
      <c r="H135" s="1158"/>
      <c r="I135" s="1158"/>
      <c r="J135" s="1158"/>
      <c r="K135" s="1158"/>
      <c r="L135" s="1158"/>
      <c r="M135" s="1158"/>
      <c r="N135" s="1158"/>
      <c r="O135" s="1158"/>
    </row>
    <row r="136" spans="2:15" ht="19.5" customHeight="1" x14ac:dyDescent="0.25">
      <c r="B136" s="1158" t="s">
        <v>996</v>
      </c>
      <c r="C136" s="1158"/>
      <c r="D136" s="778" t="s">
        <v>7</v>
      </c>
      <c r="E136" s="778"/>
      <c r="F136" s="778"/>
      <c r="G136" s="778"/>
      <c r="H136" s="778" t="s">
        <v>8</v>
      </c>
      <c r="I136" s="778"/>
      <c r="J136" s="778"/>
      <c r="K136" s="778"/>
      <c r="L136" s="778" t="s">
        <v>993</v>
      </c>
      <c r="M136" s="778"/>
      <c r="N136" s="778"/>
      <c r="O136" s="778"/>
    </row>
    <row r="137" spans="2:15" ht="24" customHeight="1" x14ac:dyDescent="0.25">
      <c r="B137" s="1158"/>
      <c r="C137" s="1158"/>
      <c r="D137" s="200" t="s">
        <v>826</v>
      </c>
      <c r="E137" s="200" t="s">
        <v>827</v>
      </c>
      <c r="F137" s="200" t="s">
        <v>970</v>
      </c>
      <c r="G137" s="200" t="s">
        <v>985</v>
      </c>
      <c r="H137" s="468" t="s">
        <v>826</v>
      </c>
      <c r="I137" s="200" t="s">
        <v>827</v>
      </c>
      <c r="J137" s="200" t="s">
        <v>970</v>
      </c>
      <c r="K137" s="200" t="s">
        <v>985</v>
      </c>
      <c r="L137" s="468" t="s">
        <v>826</v>
      </c>
      <c r="M137" s="200" t="s">
        <v>827</v>
      </c>
      <c r="N137" s="200" t="s">
        <v>970</v>
      </c>
      <c r="O137" s="200" t="s">
        <v>985</v>
      </c>
    </row>
    <row r="138" spans="2:15" ht="18" customHeight="1" x14ac:dyDescent="0.25">
      <c r="B138" s="1154" t="s">
        <v>422</v>
      </c>
      <c r="C138" s="1154"/>
      <c r="D138" s="471">
        <v>1</v>
      </c>
      <c r="E138" s="471">
        <v>4</v>
      </c>
      <c r="F138" s="471">
        <v>0</v>
      </c>
      <c r="G138" s="471">
        <f>SUM(D138:F138)</f>
        <v>5</v>
      </c>
      <c r="H138" s="411">
        <v>6</v>
      </c>
      <c r="I138" s="471">
        <v>9</v>
      </c>
      <c r="J138" s="471">
        <v>0</v>
      </c>
      <c r="K138" s="471">
        <f>SUM(H138:J138)</f>
        <v>15</v>
      </c>
      <c r="L138" s="411">
        <v>5</v>
      </c>
      <c r="M138" s="471">
        <v>1</v>
      </c>
      <c r="N138" s="471">
        <v>1</v>
      </c>
      <c r="O138" s="471">
        <f>SUM(L138:N138)</f>
        <v>7</v>
      </c>
    </row>
    <row r="139" spans="2:15" ht="70.5" customHeight="1" thickBot="1" x14ac:dyDescent="0.3">
      <c r="B139" s="1141" t="s">
        <v>998</v>
      </c>
      <c r="C139" s="1141"/>
      <c r="D139" s="520" t="s">
        <v>1007</v>
      </c>
      <c r="E139" s="520" t="s">
        <v>1007</v>
      </c>
      <c r="F139" s="520" t="s">
        <v>51</v>
      </c>
      <c r="G139" s="602" t="s">
        <v>1007</v>
      </c>
      <c r="H139" s="706" t="s">
        <v>1240</v>
      </c>
      <c r="I139" s="520" t="s">
        <v>1240</v>
      </c>
      <c r="J139" s="520" t="s">
        <v>51</v>
      </c>
      <c r="K139" s="602" t="s">
        <v>1240</v>
      </c>
      <c r="L139" s="706" t="s">
        <v>1007</v>
      </c>
      <c r="M139" s="520" t="s">
        <v>1234</v>
      </c>
      <c r="N139" s="520" t="s">
        <v>1007</v>
      </c>
      <c r="O139" s="602" t="s">
        <v>1235</v>
      </c>
    </row>
    <row r="140" spans="2:15" ht="45.75" customHeight="1" thickBot="1" x14ac:dyDescent="0.3">
      <c r="B140" s="1141" t="s">
        <v>999</v>
      </c>
      <c r="C140" s="1141"/>
      <c r="D140" s="520" t="s">
        <v>986</v>
      </c>
      <c r="E140" s="707" t="s">
        <v>1008</v>
      </c>
      <c r="F140" s="520" t="s">
        <v>51</v>
      </c>
      <c r="G140" s="708" t="s">
        <v>1018</v>
      </c>
      <c r="H140" s="709" t="s">
        <v>986</v>
      </c>
      <c r="I140" s="707" t="s">
        <v>986</v>
      </c>
      <c r="J140" s="521" t="s">
        <v>51</v>
      </c>
      <c r="K140" s="708" t="s">
        <v>986</v>
      </c>
      <c r="L140" s="706" t="s">
        <v>986</v>
      </c>
      <c r="M140" s="707" t="s">
        <v>986</v>
      </c>
      <c r="N140" s="707" t="s">
        <v>428</v>
      </c>
      <c r="O140" s="708" t="s">
        <v>1154</v>
      </c>
    </row>
    <row r="141" spans="2:15" ht="48" customHeight="1" thickBot="1" x14ac:dyDescent="0.3">
      <c r="B141" s="1141" t="s">
        <v>1000</v>
      </c>
      <c r="C141" s="1141"/>
      <c r="D141" s="520" t="s">
        <v>428</v>
      </c>
      <c r="E141" s="707" t="s">
        <v>1011</v>
      </c>
      <c r="F141" s="520" t="s">
        <v>51</v>
      </c>
      <c r="G141" s="708" t="s">
        <v>427</v>
      </c>
      <c r="H141" s="706" t="s">
        <v>428</v>
      </c>
      <c r="I141" s="707" t="s">
        <v>1241</v>
      </c>
      <c r="J141" s="707" t="s">
        <v>51</v>
      </c>
      <c r="K141" s="708" t="s">
        <v>1242</v>
      </c>
      <c r="L141" s="706" t="s">
        <v>428</v>
      </c>
      <c r="M141" s="707" t="s">
        <v>986</v>
      </c>
      <c r="N141" s="707" t="s">
        <v>428</v>
      </c>
      <c r="O141" s="708" t="s">
        <v>631</v>
      </c>
    </row>
    <row r="142" spans="2:15" ht="45.75" customHeight="1" thickBot="1" x14ac:dyDescent="0.3">
      <c r="B142" s="1141" t="s">
        <v>1001</v>
      </c>
      <c r="C142" s="1141"/>
      <c r="D142" s="520" t="s">
        <v>428</v>
      </c>
      <c r="E142" s="707" t="s">
        <v>428</v>
      </c>
      <c r="F142" s="520" t="s">
        <v>51</v>
      </c>
      <c r="G142" s="708" t="s">
        <v>428</v>
      </c>
      <c r="H142" s="706" t="s">
        <v>428</v>
      </c>
      <c r="I142" s="707" t="s">
        <v>984</v>
      </c>
      <c r="J142" s="707" t="s">
        <v>51</v>
      </c>
      <c r="K142" s="708" t="s">
        <v>1243</v>
      </c>
      <c r="L142" s="706" t="s">
        <v>428</v>
      </c>
      <c r="M142" s="707" t="s">
        <v>428</v>
      </c>
      <c r="N142" s="707" t="s">
        <v>428</v>
      </c>
      <c r="O142" s="708" t="s">
        <v>428</v>
      </c>
    </row>
    <row r="143" spans="2:15" ht="45.75" customHeight="1" thickBot="1" x14ac:dyDescent="0.3">
      <c r="B143" s="1141" t="s">
        <v>1002</v>
      </c>
      <c r="C143" s="1141"/>
      <c r="D143" s="520" t="s">
        <v>428</v>
      </c>
      <c r="E143" s="707" t="s">
        <v>633</v>
      </c>
      <c r="F143" s="520" t="s">
        <v>51</v>
      </c>
      <c r="G143" s="708" t="s">
        <v>1018</v>
      </c>
      <c r="H143" s="706" t="s">
        <v>428</v>
      </c>
      <c r="I143" s="707" t="s">
        <v>1241</v>
      </c>
      <c r="J143" s="707" t="s">
        <v>51</v>
      </c>
      <c r="K143" s="708" t="s">
        <v>1242</v>
      </c>
      <c r="L143" s="706" t="s">
        <v>428</v>
      </c>
      <c r="M143" s="707" t="s">
        <v>986</v>
      </c>
      <c r="N143" s="707" t="s">
        <v>428</v>
      </c>
      <c r="O143" s="708" t="s">
        <v>631</v>
      </c>
    </row>
    <row r="144" spans="2:15" ht="47.25" customHeight="1" thickBot="1" x14ac:dyDescent="0.3">
      <c r="B144" s="1141" t="s">
        <v>1003</v>
      </c>
      <c r="C144" s="1141"/>
      <c r="D144" s="520" t="s">
        <v>986</v>
      </c>
      <c r="E144" s="707" t="s">
        <v>987</v>
      </c>
      <c r="F144" s="520" t="s">
        <v>51</v>
      </c>
      <c r="G144" s="708" t="s">
        <v>1018</v>
      </c>
      <c r="H144" s="706" t="s">
        <v>632</v>
      </c>
      <c r="I144" s="707" t="s">
        <v>1244</v>
      </c>
      <c r="J144" s="707" t="s">
        <v>51</v>
      </c>
      <c r="K144" s="708" t="s">
        <v>1245</v>
      </c>
      <c r="L144" s="706" t="s">
        <v>1017</v>
      </c>
      <c r="M144" s="707" t="s">
        <v>986</v>
      </c>
      <c r="N144" s="707" t="s">
        <v>428</v>
      </c>
      <c r="O144" s="708" t="s">
        <v>1010</v>
      </c>
    </row>
    <row r="145" spans="1:15" ht="30" customHeight="1" thickBot="1" x14ac:dyDescent="0.3">
      <c r="B145" s="1141" t="s">
        <v>1004</v>
      </c>
      <c r="C145" s="1141"/>
      <c r="D145" s="520" t="s">
        <v>51</v>
      </c>
      <c r="E145" s="710" t="s">
        <v>1156</v>
      </c>
      <c r="F145" s="520" t="s">
        <v>51</v>
      </c>
      <c r="G145" s="708" t="s">
        <v>1238</v>
      </c>
      <c r="H145" s="706" t="s">
        <v>1246</v>
      </c>
      <c r="I145" s="710" t="s">
        <v>1246</v>
      </c>
      <c r="J145" s="710" t="s">
        <v>51</v>
      </c>
      <c r="K145" s="708" t="s">
        <v>1247</v>
      </c>
      <c r="L145" s="706" t="s">
        <v>1236</v>
      </c>
      <c r="M145" s="710" t="s">
        <v>51</v>
      </c>
      <c r="N145" s="710" t="s">
        <v>1009</v>
      </c>
      <c r="O145" s="708" t="s">
        <v>1237</v>
      </c>
    </row>
    <row r="146" spans="1:15" ht="39" customHeight="1" thickBot="1" x14ac:dyDescent="0.3">
      <c r="B146" s="1141" t="s">
        <v>1005</v>
      </c>
      <c r="C146" s="1141"/>
      <c r="D146" s="520" t="s">
        <v>51</v>
      </c>
      <c r="E146" s="707" t="s">
        <v>1145</v>
      </c>
      <c r="F146" s="520" t="s">
        <v>51</v>
      </c>
      <c r="G146" s="708" t="s">
        <v>1239</v>
      </c>
      <c r="H146" s="711" t="s">
        <v>1248</v>
      </c>
      <c r="I146" s="710" t="s">
        <v>1249</v>
      </c>
      <c r="J146" s="521" t="s">
        <v>51</v>
      </c>
      <c r="K146" s="708" t="s">
        <v>1239</v>
      </c>
      <c r="L146" s="706" t="s">
        <v>1017</v>
      </c>
      <c r="M146" s="710" t="s">
        <v>51</v>
      </c>
      <c r="N146" s="707" t="s">
        <v>428</v>
      </c>
      <c r="O146" s="708" t="s">
        <v>1010</v>
      </c>
    </row>
    <row r="147" spans="1:15" ht="65.25" customHeight="1" thickBot="1" x14ac:dyDescent="0.3">
      <c r="B147" s="1145" t="s">
        <v>1006</v>
      </c>
      <c r="C147" s="1145"/>
      <c r="D147" s="520">
        <v>2</v>
      </c>
      <c r="E147" s="707">
        <v>4.75</v>
      </c>
      <c r="F147" s="520" t="s">
        <v>51</v>
      </c>
      <c r="G147" s="708">
        <v>4.2</v>
      </c>
      <c r="H147" s="711">
        <v>3.1666666666666665</v>
      </c>
      <c r="I147" s="710">
        <v>3.1111111111111112</v>
      </c>
      <c r="J147" s="521" t="s">
        <v>51</v>
      </c>
      <c r="K147" s="708">
        <v>3.1333333333333333</v>
      </c>
      <c r="L147" s="706">
        <v>2.6</v>
      </c>
      <c r="M147" s="710">
        <v>3</v>
      </c>
      <c r="N147" s="707">
        <v>1</v>
      </c>
      <c r="O147" s="708">
        <v>2.4285714285714284</v>
      </c>
    </row>
    <row r="148" spans="1:15" ht="39" customHeight="1" thickBot="1" x14ac:dyDescent="0.3">
      <c r="B148" s="1145" t="s">
        <v>1146</v>
      </c>
      <c r="C148" s="1145"/>
      <c r="D148" s="520" t="s">
        <v>428</v>
      </c>
      <c r="E148" s="707" t="s">
        <v>1011</v>
      </c>
      <c r="F148" s="707" t="s">
        <v>51</v>
      </c>
      <c r="G148" s="708" t="s">
        <v>427</v>
      </c>
      <c r="H148" s="711" t="s">
        <v>632</v>
      </c>
      <c r="I148" s="710" t="s">
        <v>632</v>
      </c>
      <c r="J148" s="521" t="s">
        <v>51</v>
      </c>
      <c r="K148" s="708" t="s">
        <v>632</v>
      </c>
      <c r="L148" s="706" t="s">
        <v>428</v>
      </c>
      <c r="M148" s="707" t="s">
        <v>986</v>
      </c>
      <c r="N148" s="707" t="s">
        <v>428</v>
      </c>
      <c r="O148" s="708" t="s">
        <v>631</v>
      </c>
    </row>
    <row r="149" spans="1:15" ht="58.5" customHeight="1" thickBot="1" x14ac:dyDescent="0.3">
      <c r="B149" s="1141" t="s">
        <v>1147</v>
      </c>
      <c r="C149" s="1141"/>
      <c r="D149" s="520">
        <v>5</v>
      </c>
      <c r="E149" s="707">
        <v>6.333333333333333</v>
      </c>
      <c r="F149" s="520" t="s">
        <v>51</v>
      </c>
      <c r="G149" s="708">
        <v>6</v>
      </c>
      <c r="H149" s="711">
        <v>7.5</v>
      </c>
      <c r="I149" s="712">
        <v>7</v>
      </c>
      <c r="J149" s="521" t="s">
        <v>51</v>
      </c>
      <c r="K149" s="708">
        <v>7.2</v>
      </c>
      <c r="L149" s="706">
        <v>8.6</v>
      </c>
      <c r="M149" s="710" t="s">
        <v>51</v>
      </c>
      <c r="N149" s="707">
        <v>10</v>
      </c>
      <c r="O149" s="713">
        <v>8.8333333333333339</v>
      </c>
    </row>
    <row r="150" spans="1:15" ht="38.25" customHeight="1" thickBot="1" x14ac:dyDescent="0.3">
      <c r="B150" s="1141" t="s">
        <v>1148</v>
      </c>
      <c r="C150" s="1141"/>
      <c r="D150" s="520" t="s">
        <v>428</v>
      </c>
      <c r="E150" s="707" t="s">
        <v>1008</v>
      </c>
      <c r="F150" s="707" t="s">
        <v>51</v>
      </c>
      <c r="G150" s="708" t="s">
        <v>1017</v>
      </c>
      <c r="H150" s="706" t="s">
        <v>428</v>
      </c>
      <c r="I150" s="707" t="s">
        <v>428</v>
      </c>
      <c r="J150" s="707" t="s">
        <v>51</v>
      </c>
      <c r="K150" s="708" t="s">
        <v>428</v>
      </c>
      <c r="L150" s="706" t="s">
        <v>428</v>
      </c>
      <c r="M150" s="707" t="s">
        <v>428</v>
      </c>
      <c r="N150" s="707" t="s">
        <v>428</v>
      </c>
      <c r="O150" s="708" t="s">
        <v>428</v>
      </c>
    </row>
    <row r="151" spans="1:15" ht="27.75" customHeight="1" thickBot="1" x14ac:dyDescent="0.3">
      <c r="B151" s="1141" t="s">
        <v>1149</v>
      </c>
      <c r="C151" s="1141"/>
      <c r="D151" s="714">
        <v>8</v>
      </c>
      <c r="E151" s="707">
        <v>8</v>
      </c>
      <c r="F151" s="520" t="s">
        <v>51</v>
      </c>
      <c r="G151" s="708">
        <v>8</v>
      </c>
      <c r="H151" s="711">
        <v>8.6666666666666661</v>
      </c>
      <c r="I151" s="710">
        <v>7.1111111111111107</v>
      </c>
      <c r="J151" s="521" t="s">
        <v>51</v>
      </c>
      <c r="K151" s="708">
        <v>7.7333333333333334</v>
      </c>
      <c r="L151" s="706">
        <v>8.6</v>
      </c>
      <c r="M151" s="710">
        <v>7</v>
      </c>
      <c r="N151" s="707">
        <v>10</v>
      </c>
      <c r="O151" s="708">
        <v>8.5714285714285712</v>
      </c>
    </row>
    <row r="152" spans="1:15" ht="39" customHeight="1" thickBot="1" x14ac:dyDescent="0.3">
      <c r="B152" s="1144" t="s">
        <v>1150</v>
      </c>
      <c r="C152" s="1144"/>
      <c r="D152" s="688">
        <v>9</v>
      </c>
      <c r="E152" s="688">
        <v>8.25</v>
      </c>
      <c r="F152" s="688" t="s">
        <v>51</v>
      </c>
      <c r="G152" s="715">
        <v>8.4</v>
      </c>
      <c r="H152" s="716">
        <v>8.6666666666666661</v>
      </c>
      <c r="I152" s="688">
        <v>7.4</v>
      </c>
      <c r="J152" s="687" t="s">
        <v>51</v>
      </c>
      <c r="K152" s="715">
        <v>7.8</v>
      </c>
      <c r="L152" s="716">
        <v>8.6</v>
      </c>
      <c r="M152" s="688">
        <v>10</v>
      </c>
      <c r="N152" s="688">
        <v>10</v>
      </c>
      <c r="O152" s="715">
        <v>9</v>
      </c>
    </row>
    <row r="153" spans="1:15" x14ac:dyDescent="0.25">
      <c r="B153" s="1027" t="s">
        <v>1922</v>
      </c>
      <c r="C153" s="1027"/>
      <c r="D153" s="233"/>
      <c r="E153" s="233"/>
    </row>
    <row r="154" spans="1:15" x14ac:dyDescent="0.25">
      <c r="B154" s="44" t="s">
        <v>425</v>
      </c>
      <c r="C154" s="44"/>
      <c r="D154" s="44"/>
      <c r="E154" s="44"/>
    </row>
    <row r="155" spans="1:15" x14ac:dyDescent="0.25">
      <c r="B155" s="40"/>
      <c r="C155" s="40"/>
      <c r="D155" s="40"/>
      <c r="E155" s="40"/>
    </row>
    <row r="156" spans="1:15" x14ac:dyDescent="0.25">
      <c r="B156" s="40"/>
      <c r="C156" s="40"/>
      <c r="D156" s="40"/>
      <c r="E156" s="40"/>
    </row>
    <row r="157" spans="1:15" x14ac:dyDescent="0.25">
      <c r="B157" s="661" t="s">
        <v>813</v>
      </c>
      <c r="C157" s="661"/>
      <c r="D157" s="661"/>
      <c r="E157" s="665"/>
      <c r="F157" s="518"/>
      <c r="G157" s="518"/>
    </row>
    <row r="158" spans="1:15" x14ac:dyDescent="0.25">
      <c r="A158" s="570"/>
      <c r="B158" s="1192" t="s">
        <v>2</v>
      </c>
      <c r="C158" s="1192"/>
      <c r="D158" s="470" t="s">
        <v>424</v>
      </c>
      <c r="E158" s="470" t="s">
        <v>304</v>
      </c>
      <c r="F158" s="470" t="s">
        <v>422</v>
      </c>
      <c r="L158" s="814"/>
      <c r="M158" s="814"/>
      <c r="N158" s="814"/>
      <c r="O158" s="814"/>
    </row>
    <row r="159" spans="1:15" ht="15" customHeight="1" thickBot="1" x14ac:dyDescent="0.3">
      <c r="A159" s="570"/>
      <c r="B159" s="1193" t="s">
        <v>7</v>
      </c>
      <c r="C159" s="1193"/>
      <c r="D159" s="239">
        <v>40</v>
      </c>
      <c r="E159" s="239">
        <v>14</v>
      </c>
      <c r="F159" s="235">
        <f>E159/D159</f>
        <v>0.35</v>
      </c>
      <c r="I159" s="561"/>
      <c r="J159" s="561"/>
      <c r="K159" s="571"/>
      <c r="L159" s="814"/>
      <c r="M159" s="814"/>
      <c r="N159" s="814"/>
      <c r="O159" s="814"/>
    </row>
    <row r="160" spans="1:15" ht="15" customHeight="1" thickBot="1" x14ac:dyDescent="0.3">
      <c r="A160" s="570"/>
      <c r="B160" s="1132" t="s">
        <v>8</v>
      </c>
      <c r="C160" s="1132"/>
      <c r="D160" s="275">
        <v>64</v>
      </c>
      <c r="E160" s="275">
        <v>5</v>
      </c>
      <c r="F160" s="235">
        <f>E160/D160</f>
        <v>7.8125E-2</v>
      </c>
      <c r="I160" s="561"/>
      <c r="J160" s="561"/>
      <c r="K160" s="571"/>
      <c r="L160" s="13"/>
      <c r="M160" s="13"/>
      <c r="N160" s="13"/>
      <c r="O160" s="13"/>
    </row>
    <row r="161" spans="1:15" ht="15" customHeight="1" thickBot="1" x14ac:dyDescent="0.3">
      <c r="A161" s="570"/>
      <c r="B161" s="1133" t="s">
        <v>995</v>
      </c>
      <c r="C161" s="1133"/>
      <c r="D161" s="258">
        <v>11</v>
      </c>
      <c r="E161" s="258">
        <v>3</v>
      </c>
      <c r="F161" s="236">
        <f>E161/D161</f>
        <v>0.27272727272727271</v>
      </c>
      <c r="I161" s="561"/>
      <c r="J161" s="561"/>
      <c r="K161" s="571"/>
      <c r="L161" s="814"/>
      <c r="M161" s="814"/>
      <c r="N161" s="814"/>
      <c r="O161" s="814"/>
    </row>
    <row r="162" spans="1:15" x14ac:dyDescent="0.25">
      <c r="B162" s="40"/>
      <c r="C162" s="40"/>
      <c r="D162" s="495"/>
      <c r="E162" s="40"/>
    </row>
    <row r="163" spans="1:15" ht="15" customHeight="1" x14ac:dyDescent="0.25">
      <c r="B163" s="225"/>
      <c r="D163" s="1158" t="s">
        <v>423</v>
      </c>
      <c r="E163" s="1158"/>
      <c r="F163" s="1158"/>
      <c r="G163" s="1158"/>
      <c r="H163" s="1158"/>
      <c r="I163" s="1158"/>
      <c r="J163" s="1158"/>
      <c r="K163" s="1158"/>
      <c r="L163" s="1158"/>
      <c r="M163" s="1158"/>
      <c r="N163" s="1158"/>
      <c r="O163" s="1158"/>
    </row>
    <row r="164" spans="1:15" ht="18.75" customHeight="1" x14ac:dyDescent="0.25">
      <c r="B164" s="1158" t="s">
        <v>996</v>
      </c>
      <c r="C164" s="1158"/>
      <c r="D164" s="778" t="s">
        <v>7</v>
      </c>
      <c r="E164" s="778"/>
      <c r="F164" s="778"/>
      <c r="G164" s="778"/>
      <c r="H164" s="778" t="s">
        <v>8</v>
      </c>
      <c r="I164" s="778"/>
      <c r="J164" s="778"/>
      <c r="K164" s="778"/>
      <c r="L164" s="778" t="s">
        <v>993</v>
      </c>
      <c r="M164" s="778"/>
      <c r="N164" s="778"/>
      <c r="O164" s="778"/>
    </row>
    <row r="165" spans="1:15" ht="24.75" customHeight="1" x14ac:dyDescent="0.25">
      <c r="B165" s="1158"/>
      <c r="C165" s="1158"/>
      <c r="D165" s="200" t="s">
        <v>826</v>
      </c>
      <c r="E165" s="200" t="s">
        <v>827</v>
      </c>
      <c r="F165" s="200" t="s">
        <v>970</v>
      </c>
      <c r="G165" s="200" t="s">
        <v>985</v>
      </c>
      <c r="H165" s="468" t="s">
        <v>826</v>
      </c>
      <c r="I165" s="200" t="s">
        <v>827</v>
      </c>
      <c r="J165" s="200" t="s">
        <v>970</v>
      </c>
      <c r="K165" s="200" t="s">
        <v>985</v>
      </c>
      <c r="L165" s="468" t="s">
        <v>826</v>
      </c>
      <c r="M165" s="200" t="s">
        <v>827</v>
      </c>
      <c r="N165" s="200" t="s">
        <v>970</v>
      </c>
      <c r="O165" s="200" t="s">
        <v>985</v>
      </c>
    </row>
    <row r="166" spans="1:15" ht="17.25" customHeight="1" x14ac:dyDescent="0.25">
      <c r="B166" s="1154" t="s">
        <v>422</v>
      </c>
      <c r="C166" s="1154"/>
      <c r="D166" s="471">
        <v>4</v>
      </c>
      <c r="E166" s="471">
        <v>10</v>
      </c>
      <c r="F166" s="471">
        <v>0</v>
      </c>
      <c r="G166" s="471">
        <v>14</v>
      </c>
      <c r="H166" s="411">
        <v>0</v>
      </c>
      <c r="I166" s="471">
        <v>5</v>
      </c>
      <c r="J166" s="411">
        <v>0</v>
      </c>
      <c r="K166" s="471">
        <v>5</v>
      </c>
      <c r="L166" s="411">
        <v>0</v>
      </c>
      <c r="M166" s="471">
        <v>3</v>
      </c>
      <c r="N166" s="471">
        <v>0</v>
      </c>
      <c r="O166" s="471">
        <v>3</v>
      </c>
    </row>
    <row r="167" spans="1:15" ht="99.75" customHeight="1" thickBot="1" x14ac:dyDescent="0.3">
      <c r="B167" s="1141" t="s">
        <v>1012</v>
      </c>
      <c r="C167" s="1141"/>
      <c r="D167" s="520" t="s">
        <v>1151</v>
      </c>
      <c r="E167" s="520" t="s">
        <v>1284</v>
      </c>
      <c r="F167" s="520" t="s">
        <v>51</v>
      </c>
      <c r="G167" s="602" t="s">
        <v>1276</v>
      </c>
      <c r="H167" s="706" t="s">
        <v>51</v>
      </c>
      <c r="I167" s="520" t="s">
        <v>1152</v>
      </c>
      <c r="J167" s="520" t="s">
        <v>51</v>
      </c>
      <c r="K167" s="602" t="s">
        <v>1152</v>
      </c>
      <c r="L167" s="706" t="s">
        <v>51</v>
      </c>
      <c r="M167" s="520" t="s">
        <v>1271</v>
      </c>
      <c r="N167" s="520" t="s">
        <v>51</v>
      </c>
      <c r="O167" s="520" t="s">
        <v>1271</v>
      </c>
    </row>
    <row r="168" spans="1:15" ht="39" customHeight="1" thickBot="1" x14ac:dyDescent="0.3">
      <c r="B168" s="1145" t="s">
        <v>1153</v>
      </c>
      <c r="C168" s="1145"/>
      <c r="D168" s="547" t="s">
        <v>986</v>
      </c>
      <c r="E168" s="547" t="s">
        <v>986</v>
      </c>
      <c r="F168" s="547" t="s">
        <v>51</v>
      </c>
      <c r="G168" s="730" t="s">
        <v>986</v>
      </c>
      <c r="H168" s="731" t="s">
        <v>51</v>
      </c>
      <c r="I168" s="547" t="s">
        <v>1144</v>
      </c>
      <c r="J168" s="547" t="s">
        <v>51</v>
      </c>
      <c r="K168" s="730" t="s">
        <v>1144</v>
      </c>
      <c r="L168" s="731" t="s">
        <v>51</v>
      </c>
      <c r="M168" s="547" t="s">
        <v>1272</v>
      </c>
      <c r="N168" s="547" t="s">
        <v>51</v>
      </c>
      <c r="O168" s="730" t="s">
        <v>1272</v>
      </c>
    </row>
    <row r="169" spans="1:15" ht="39" customHeight="1" thickBot="1" x14ac:dyDescent="0.3">
      <c r="B169" s="1145" t="s">
        <v>1155</v>
      </c>
      <c r="C169" s="1145"/>
      <c r="D169" s="547" t="s">
        <v>986</v>
      </c>
      <c r="E169" s="547" t="s">
        <v>1144</v>
      </c>
      <c r="F169" s="547" t="s">
        <v>51</v>
      </c>
      <c r="G169" s="730" t="s">
        <v>1154</v>
      </c>
      <c r="H169" s="731" t="s">
        <v>51</v>
      </c>
      <c r="I169" s="547" t="s">
        <v>1018</v>
      </c>
      <c r="J169" s="547" t="s">
        <v>51</v>
      </c>
      <c r="K169" s="730" t="s">
        <v>1018</v>
      </c>
      <c r="L169" s="731" t="s">
        <v>51</v>
      </c>
      <c r="M169" s="547" t="s">
        <v>1273</v>
      </c>
      <c r="N169" s="547" t="s">
        <v>51</v>
      </c>
      <c r="O169" s="730" t="s">
        <v>1273</v>
      </c>
    </row>
    <row r="170" spans="1:15" ht="48.75" customHeight="1" thickBot="1" x14ac:dyDescent="0.3">
      <c r="B170" s="1141" t="s">
        <v>1013</v>
      </c>
      <c r="C170" s="1141"/>
      <c r="D170" s="707" t="s">
        <v>428</v>
      </c>
      <c r="E170" s="707" t="s">
        <v>427</v>
      </c>
      <c r="F170" s="521" t="s">
        <v>51</v>
      </c>
      <c r="G170" s="708" t="s">
        <v>631</v>
      </c>
      <c r="H170" s="709" t="s">
        <v>51</v>
      </c>
      <c r="I170" s="707" t="s">
        <v>1017</v>
      </c>
      <c r="J170" s="521" t="s">
        <v>51</v>
      </c>
      <c r="K170" s="708" t="s">
        <v>1017</v>
      </c>
      <c r="L170" s="709" t="s">
        <v>51</v>
      </c>
      <c r="M170" s="547" t="s">
        <v>1273</v>
      </c>
      <c r="N170" s="521" t="s">
        <v>51</v>
      </c>
      <c r="O170" s="708" t="s">
        <v>1273</v>
      </c>
    </row>
    <row r="171" spans="1:15" ht="30.75" customHeight="1" thickBot="1" x14ac:dyDescent="0.3">
      <c r="B171" s="1141" t="s">
        <v>1014</v>
      </c>
      <c r="C171" s="1141"/>
      <c r="D171" s="707" t="s">
        <v>1283</v>
      </c>
      <c r="E171" s="707" t="s">
        <v>1285</v>
      </c>
      <c r="F171" s="732" t="s">
        <v>51</v>
      </c>
      <c r="G171" s="708" t="s">
        <v>1277</v>
      </c>
      <c r="H171" s="709" t="s">
        <v>51</v>
      </c>
      <c r="I171" s="707" t="s">
        <v>1269</v>
      </c>
      <c r="J171" s="732" t="s">
        <v>51</v>
      </c>
      <c r="K171" s="708" t="s">
        <v>1269</v>
      </c>
      <c r="L171" s="711" t="s">
        <v>51</v>
      </c>
      <c r="M171" s="710" t="s">
        <v>1274</v>
      </c>
      <c r="N171" s="521" t="s">
        <v>51</v>
      </c>
      <c r="O171" s="708" t="s">
        <v>1274</v>
      </c>
    </row>
    <row r="172" spans="1:15" ht="38.25" customHeight="1" thickBot="1" x14ac:dyDescent="0.3">
      <c r="B172" s="1145" t="s">
        <v>1015</v>
      </c>
      <c r="C172" s="1145"/>
      <c r="D172" s="707" t="s">
        <v>1011</v>
      </c>
      <c r="E172" s="707" t="s">
        <v>428</v>
      </c>
      <c r="F172" s="521" t="s">
        <v>51</v>
      </c>
      <c r="G172" s="708" t="s">
        <v>1278</v>
      </c>
      <c r="H172" s="709" t="s">
        <v>51</v>
      </c>
      <c r="I172" s="707" t="s">
        <v>1270</v>
      </c>
      <c r="J172" s="521" t="s">
        <v>51</v>
      </c>
      <c r="K172" s="708" t="s">
        <v>1270</v>
      </c>
      <c r="L172" s="711" t="s">
        <v>51</v>
      </c>
      <c r="M172" s="710" t="s">
        <v>1275</v>
      </c>
      <c r="N172" s="521" t="s">
        <v>51</v>
      </c>
      <c r="O172" s="708" t="s">
        <v>1275</v>
      </c>
    </row>
    <row r="173" spans="1:15" ht="72" customHeight="1" thickBot="1" x14ac:dyDescent="0.3">
      <c r="B173" s="1141" t="s">
        <v>1016</v>
      </c>
      <c r="C173" s="1141"/>
      <c r="D173" s="707">
        <v>3.25</v>
      </c>
      <c r="E173" s="707">
        <v>3.6</v>
      </c>
      <c r="F173" s="707" t="s">
        <v>51</v>
      </c>
      <c r="G173" s="708">
        <v>3.5</v>
      </c>
      <c r="H173" s="709" t="s">
        <v>51</v>
      </c>
      <c r="I173" s="707">
        <v>3.4</v>
      </c>
      <c r="J173" s="707" t="s">
        <v>51</v>
      </c>
      <c r="K173" s="708">
        <v>3.4</v>
      </c>
      <c r="L173" s="711" t="s">
        <v>51</v>
      </c>
      <c r="M173" s="710">
        <v>3.6</v>
      </c>
      <c r="N173" s="714" t="s">
        <v>51</v>
      </c>
      <c r="O173" s="708">
        <v>3.6</v>
      </c>
    </row>
    <row r="174" spans="1:15" ht="35.25" customHeight="1" thickBot="1" x14ac:dyDescent="0.3">
      <c r="B174" s="1141" t="s">
        <v>1157</v>
      </c>
      <c r="C174" s="1141"/>
      <c r="D174" s="707" t="s">
        <v>428</v>
      </c>
      <c r="E174" s="707" t="s">
        <v>427</v>
      </c>
      <c r="F174" s="521" t="s">
        <v>51</v>
      </c>
      <c r="G174" s="708" t="s">
        <v>631</v>
      </c>
      <c r="H174" s="709" t="s">
        <v>51</v>
      </c>
      <c r="I174" s="707" t="s">
        <v>427</v>
      </c>
      <c r="J174" s="521" t="s">
        <v>51</v>
      </c>
      <c r="K174" s="708" t="s">
        <v>427</v>
      </c>
      <c r="L174" s="711" t="s">
        <v>51</v>
      </c>
      <c r="M174" s="710" t="s">
        <v>428</v>
      </c>
      <c r="N174" s="521" t="s">
        <v>51</v>
      </c>
      <c r="O174" s="708" t="s">
        <v>428</v>
      </c>
    </row>
    <row r="175" spans="1:15" ht="27" customHeight="1" thickBot="1" x14ac:dyDescent="0.3">
      <c r="B175" s="1145" t="s">
        <v>1158</v>
      </c>
      <c r="C175" s="1145"/>
      <c r="D175" s="707">
        <v>6</v>
      </c>
      <c r="E175" s="707">
        <v>7.6</v>
      </c>
      <c r="F175" s="707" t="s">
        <v>51</v>
      </c>
      <c r="G175" s="708">
        <v>7.1</v>
      </c>
      <c r="H175" s="709" t="s">
        <v>51</v>
      </c>
      <c r="I175" s="707">
        <v>7.2</v>
      </c>
      <c r="J175" s="707" t="s">
        <v>51</v>
      </c>
      <c r="K175" s="708">
        <v>7.2</v>
      </c>
      <c r="L175" s="711" t="s">
        <v>51</v>
      </c>
      <c r="M175" s="710">
        <v>7</v>
      </c>
      <c r="N175" s="521" t="s">
        <v>51</v>
      </c>
      <c r="O175" s="708">
        <v>7</v>
      </c>
    </row>
    <row r="176" spans="1:15" ht="38.25" customHeight="1" thickBot="1" x14ac:dyDescent="0.3">
      <c r="B176" s="1141" t="s">
        <v>1159</v>
      </c>
      <c r="C176" s="1141"/>
      <c r="D176" s="707">
        <v>6</v>
      </c>
      <c r="E176" s="707">
        <v>7.8</v>
      </c>
      <c r="F176" s="707" t="s">
        <v>51</v>
      </c>
      <c r="G176" s="708">
        <v>7.3</v>
      </c>
      <c r="H176" s="709" t="s">
        <v>51</v>
      </c>
      <c r="I176" s="707">
        <v>7.4</v>
      </c>
      <c r="J176" s="707" t="s">
        <v>51</v>
      </c>
      <c r="K176" s="708">
        <v>7.4</v>
      </c>
      <c r="L176" s="711" t="s">
        <v>51</v>
      </c>
      <c r="M176" s="710">
        <v>6.3</v>
      </c>
      <c r="N176" s="521" t="s">
        <v>51</v>
      </c>
      <c r="O176" s="708">
        <v>6.3</v>
      </c>
    </row>
    <row r="177" spans="1:15" ht="38.25" customHeight="1" thickBot="1" x14ac:dyDescent="0.3">
      <c r="B177" s="1145" t="s">
        <v>1160</v>
      </c>
      <c r="C177" s="1145"/>
      <c r="D177" s="707">
        <v>5.25</v>
      </c>
      <c r="E177" s="707">
        <v>7.7</v>
      </c>
      <c r="F177" s="707" t="s">
        <v>51</v>
      </c>
      <c r="G177" s="708">
        <v>7</v>
      </c>
      <c r="H177" s="709" t="s">
        <v>51</v>
      </c>
      <c r="I177" s="707">
        <v>6.8</v>
      </c>
      <c r="J177" s="707" t="s">
        <v>51</v>
      </c>
      <c r="K177" s="708">
        <v>6.8</v>
      </c>
      <c r="L177" s="711" t="s">
        <v>51</v>
      </c>
      <c r="M177" s="710">
        <v>5.3</v>
      </c>
      <c r="N177" s="521" t="s">
        <v>51</v>
      </c>
      <c r="O177" s="708">
        <v>5.3</v>
      </c>
    </row>
    <row r="178" spans="1:15" ht="38.25" customHeight="1" thickBot="1" x14ac:dyDescent="0.3">
      <c r="B178" s="1145" t="s">
        <v>1161</v>
      </c>
      <c r="C178" s="1145"/>
      <c r="D178" s="707">
        <v>4.75</v>
      </c>
      <c r="E178" s="707">
        <v>4.9000000000000004</v>
      </c>
      <c r="F178" s="707" t="s">
        <v>51</v>
      </c>
      <c r="G178" s="708">
        <v>4.8</v>
      </c>
      <c r="H178" s="709" t="s">
        <v>51</v>
      </c>
      <c r="I178" s="707">
        <v>3</v>
      </c>
      <c r="J178" s="707" t="s">
        <v>51</v>
      </c>
      <c r="K178" s="708">
        <v>3</v>
      </c>
      <c r="L178" s="711" t="s">
        <v>51</v>
      </c>
      <c r="M178" s="710">
        <v>4.5999999999999996</v>
      </c>
      <c r="N178" s="521" t="s">
        <v>51</v>
      </c>
      <c r="O178" s="708">
        <v>4.5999999999999996</v>
      </c>
    </row>
    <row r="179" spans="1:15" ht="38.25" customHeight="1" thickBot="1" x14ac:dyDescent="0.3">
      <c r="B179" s="1145" t="s">
        <v>1162</v>
      </c>
      <c r="C179" s="1145"/>
      <c r="D179" s="714" t="s">
        <v>986</v>
      </c>
      <c r="E179" s="707" t="s">
        <v>986</v>
      </c>
      <c r="F179" s="521" t="s">
        <v>51</v>
      </c>
      <c r="G179" s="708" t="s">
        <v>986</v>
      </c>
      <c r="H179" s="733" t="s">
        <v>51</v>
      </c>
      <c r="I179" s="714" t="s">
        <v>1144</v>
      </c>
      <c r="J179" s="521" t="s">
        <v>51</v>
      </c>
      <c r="K179" s="713" t="s">
        <v>1144</v>
      </c>
      <c r="L179" s="711" t="s">
        <v>51</v>
      </c>
      <c r="M179" s="710" t="s">
        <v>1272</v>
      </c>
      <c r="N179" s="521" t="s">
        <v>51</v>
      </c>
      <c r="O179" s="708" t="s">
        <v>1272</v>
      </c>
    </row>
    <row r="180" spans="1:15" ht="36.75" customHeight="1" thickBot="1" x14ac:dyDescent="0.3">
      <c r="B180" s="1141" t="s">
        <v>1163</v>
      </c>
      <c r="C180" s="1141"/>
      <c r="D180" s="707" t="s">
        <v>633</v>
      </c>
      <c r="E180" s="707" t="s">
        <v>1144</v>
      </c>
      <c r="F180" s="521" t="s">
        <v>51</v>
      </c>
      <c r="G180" s="708" t="s">
        <v>1194</v>
      </c>
      <c r="H180" s="709" t="s">
        <v>51</v>
      </c>
      <c r="I180" s="707" t="s">
        <v>1017</v>
      </c>
      <c r="J180" s="521" t="s">
        <v>51</v>
      </c>
      <c r="K180" s="708" t="s">
        <v>1017</v>
      </c>
      <c r="L180" s="711" t="s">
        <v>51</v>
      </c>
      <c r="M180" s="710" t="s">
        <v>1272</v>
      </c>
      <c r="N180" s="521" t="s">
        <v>51</v>
      </c>
      <c r="O180" s="708" t="s">
        <v>1272</v>
      </c>
    </row>
    <row r="181" spans="1:15" ht="38.25" customHeight="1" thickBot="1" x14ac:dyDescent="0.3">
      <c r="B181" s="1145" t="s">
        <v>1164</v>
      </c>
      <c r="C181" s="1145"/>
      <c r="D181" s="714" t="s">
        <v>1011</v>
      </c>
      <c r="E181" s="707" t="s">
        <v>1193</v>
      </c>
      <c r="F181" s="521" t="s">
        <v>51</v>
      </c>
      <c r="G181" s="708" t="s">
        <v>1279</v>
      </c>
      <c r="H181" s="733" t="s">
        <v>51</v>
      </c>
      <c r="I181" s="714" t="s">
        <v>1017</v>
      </c>
      <c r="J181" s="521" t="s">
        <v>51</v>
      </c>
      <c r="K181" s="713" t="s">
        <v>1017</v>
      </c>
      <c r="L181" s="711" t="s">
        <v>51</v>
      </c>
      <c r="M181" s="710" t="s">
        <v>1273</v>
      </c>
      <c r="N181" s="521" t="s">
        <v>51</v>
      </c>
      <c r="O181" s="708" t="s">
        <v>1273</v>
      </c>
    </row>
    <row r="182" spans="1:15" ht="38.25" customHeight="1" thickBot="1" x14ac:dyDescent="0.3">
      <c r="B182" s="1145" t="s">
        <v>1165</v>
      </c>
      <c r="C182" s="1145"/>
      <c r="D182" s="714" t="s">
        <v>1008</v>
      </c>
      <c r="E182" s="707" t="s">
        <v>1193</v>
      </c>
      <c r="F182" s="521" t="s">
        <v>51</v>
      </c>
      <c r="G182" s="708" t="s">
        <v>1280</v>
      </c>
      <c r="H182" s="733" t="s">
        <v>51</v>
      </c>
      <c r="I182" s="714" t="s">
        <v>427</v>
      </c>
      <c r="J182" s="521" t="s">
        <v>51</v>
      </c>
      <c r="K182" s="713" t="s">
        <v>427</v>
      </c>
      <c r="L182" s="711" t="s">
        <v>51</v>
      </c>
      <c r="M182" s="710" t="s">
        <v>1273</v>
      </c>
      <c r="N182" s="521" t="s">
        <v>51</v>
      </c>
      <c r="O182" s="708" t="s">
        <v>1273</v>
      </c>
    </row>
    <row r="183" spans="1:15" ht="75" customHeight="1" thickBot="1" x14ac:dyDescent="0.3">
      <c r="B183" s="1141" t="s">
        <v>1166</v>
      </c>
      <c r="C183" s="1141"/>
      <c r="D183" s="707" t="s">
        <v>428</v>
      </c>
      <c r="E183" s="707" t="s">
        <v>1019</v>
      </c>
      <c r="F183" s="521" t="s">
        <v>51</v>
      </c>
      <c r="G183" s="708" t="s">
        <v>1281</v>
      </c>
      <c r="H183" s="709" t="s">
        <v>51</v>
      </c>
      <c r="I183" s="707" t="s">
        <v>427</v>
      </c>
      <c r="J183" s="521" t="s">
        <v>51</v>
      </c>
      <c r="K183" s="708" t="s">
        <v>427</v>
      </c>
      <c r="L183" s="711" t="s">
        <v>51</v>
      </c>
      <c r="M183" s="710" t="s">
        <v>1273</v>
      </c>
      <c r="N183" s="521" t="s">
        <v>51</v>
      </c>
      <c r="O183" s="708" t="s">
        <v>1273</v>
      </c>
    </row>
    <row r="184" spans="1:15" ht="27" customHeight="1" thickBot="1" x14ac:dyDescent="0.3">
      <c r="B184" s="1141" t="s">
        <v>1167</v>
      </c>
      <c r="C184" s="1141"/>
      <c r="D184" s="707" t="s">
        <v>1011</v>
      </c>
      <c r="E184" s="707" t="s">
        <v>427</v>
      </c>
      <c r="F184" s="521" t="s">
        <v>51</v>
      </c>
      <c r="G184" s="708" t="s">
        <v>1142</v>
      </c>
      <c r="H184" s="709" t="s">
        <v>51</v>
      </c>
      <c r="I184" s="707" t="s">
        <v>427</v>
      </c>
      <c r="J184" s="521" t="s">
        <v>51</v>
      </c>
      <c r="K184" s="708" t="s">
        <v>427</v>
      </c>
      <c r="L184" s="711" t="s">
        <v>51</v>
      </c>
      <c r="M184" s="710" t="s">
        <v>1273</v>
      </c>
      <c r="N184" s="521" t="s">
        <v>51</v>
      </c>
      <c r="O184" s="708" t="s">
        <v>1273</v>
      </c>
    </row>
    <row r="185" spans="1:15" ht="60" customHeight="1" thickBot="1" x14ac:dyDescent="0.3">
      <c r="B185" s="1144" t="s">
        <v>1168</v>
      </c>
      <c r="C185" s="1144"/>
      <c r="D185" s="688" t="s">
        <v>986</v>
      </c>
      <c r="E185" s="688" t="s">
        <v>1018</v>
      </c>
      <c r="F185" s="687" t="s">
        <v>51</v>
      </c>
      <c r="G185" s="715" t="s">
        <v>1282</v>
      </c>
      <c r="H185" s="716" t="s">
        <v>51</v>
      </c>
      <c r="I185" s="688" t="s">
        <v>1017</v>
      </c>
      <c r="J185" s="687" t="s">
        <v>51</v>
      </c>
      <c r="K185" s="715" t="s">
        <v>1017</v>
      </c>
      <c r="L185" s="716" t="s">
        <v>51</v>
      </c>
      <c r="M185" s="687" t="s">
        <v>1272</v>
      </c>
      <c r="N185" s="687" t="s">
        <v>51</v>
      </c>
      <c r="O185" s="715" t="s">
        <v>1272</v>
      </c>
    </row>
    <row r="186" spans="1:15" ht="21.75" customHeight="1" x14ac:dyDescent="0.25">
      <c r="B186" s="1047" t="s">
        <v>1922</v>
      </c>
      <c r="C186" s="1047"/>
      <c r="D186" s="40"/>
      <c r="E186" s="40"/>
    </row>
    <row r="187" spans="1:15" ht="21.75" customHeight="1" x14ac:dyDescent="0.25">
      <c r="B187" s="44" t="s">
        <v>426</v>
      </c>
      <c r="C187" s="44"/>
      <c r="D187" s="40"/>
      <c r="E187" s="40"/>
    </row>
    <row r="188" spans="1:15" ht="21.75" customHeight="1" x14ac:dyDescent="0.25">
      <c r="B188" s="40"/>
      <c r="C188" s="40"/>
      <c r="D188" s="40"/>
      <c r="E188" s="40"/>
    </row>
    <row r="189" spans="1:15" ht="21.75" customHeight="1" x14ac:dyDescent="0.25">
      <c r="B189" s="51"/>
    </row>
    <row r="190" spans="1:15" x14ac:dyDescent="0.25">
      <c r="B190" s="661" t="s">
        <v>814</v>
      </c>
      <c r="C190" s="661"/>
      <c r="D190" s="661"/>
      <c r="E190" s="661"/>
      <c r="F190" s="661"/>
      <c r="G190" s="661"/>
      <c r="H190" s="661"/>
    </row>
    <row r="191" spans="1:15" x14ac:dyDescent="0.25">
      <c r="A191" s="203"/>
      <c r="B191" s="1192" t="s">
        <v>2</v>
      </c>
      <c r="C191" s="1192"/>
      <c r="D191" s="470" t="s">
        <v>424</v>
      </c>
      <c r="E191" s="470" t="s">
        <v>304</v>
      </c>
      <c r="F191" s="470" t="s">
        <v>422</v>
      </c>
      <c r="L191" s="814"/>
      <c r="M191" s="814"/>
      <c r="N191" s="814"/>
      <c r="O191" s="814"/>
    </row>
    <row r="192" spans="1:15" ht="15" customHeight="1" thickBot="1" x14ac:dyDescent="0.3">
      <c r="A192" s="203"/>
      <c r="B192" s="1193" t="s">
        <v>7</v>
      </c>
      <c r="C192" s="1193"/>
      <c r="D192" s="239">
        <v>20</v>
      </c>
      <c r="E192" s="239">
        <v>0</v>
      </c>
      <c r="F192" s="235">
        <f>E192/D192</f>
        <v>0</v>
      </c>
      <c r="H192" s="561"/>
      <c r="I192" s="561"/>
      <c r="J192" s="571"/>
      <c r="L192" s="814"/>
      <c r="M192" s="814"/>
      <c r="N192" s="814"/>
      <c r="O192" s="814"/>
    </row>
    <row r="193" spans="1:15" ht="15" customHeight="1" thickBot="1" x14ac:dyDescent="0.3">
      <c r="A193" s="203"/>
      <c r="B193" s="1132" t="s">
        <v>8</v>
      </c>
      <c r="C193" s="1132"/>
      <c r="D193" s="275">
        <v>44</v>
      </c>
      <c r="E193" s="275">
        <v>3</v>
      </c>
      <c r="F193" s="235">
        <f>E193/D193</f>
        <v>6.8181818181818177E-2</v>
      </c>
      <c r="H193" s="561"/>
      <c r="I193" s="561"/>
      <c r="J193" s="571"/>
      <c r="L193" s="13"/>
      <c r="M193" s="13"/>
      <c r="N193" s="13"/>
      <c r="O193" s="13"/>
    </row>
    <row r="194" spans="1:15" ht="15" customHeight="1" thickBot="1" x14ac:dyDescent="0.3">
      <c r="A194" s="203"/>
      <c r="B194" s="1133" t="s">
        <v>995</v>
      </c>
      <c r="C194" s="1133"/>
      <c r="D194" s="258">
        <v>0</v>
      </c>
      <c r="E194" s="258">
        <v>0</v>
      </c>
      <c r="F194" s="236" t="s">
        <v>51</v>
      </c>
      <c r="H194" s="561"/>
      <c r="I194" s="561"/>
      <c r="J194" s="571"/>
      <c r="L194" s="814"/>
      <c r="M194" s="814"/>
      <c r="N194" s="814"/>
      <c r="O194" s="814"/>
    </row>
    <row r="195" spans="1:15" x14ac:dyDescent="0.25">
      <c r="B195" s="37"/>
      <c r="D195" s="495"/>
    </row>
    <row r="196" spans="1:15" ht="15" customHeight="1" x14ac:dyDescent="0.25">
      <c r="B196" s="225"/>
      <c r="D196" s="1158" t="s">
        <v>423</v>
      </c>
      <c r="E196" s="1158"/>
      <c r="F196" s="1158"/>
      <c r="G196" s="1158"/>
      <c r="H196" s="1158"/>
      <c r="I196" s="1158"/>
      <c r="J196" s="1158"/>
      <c r="K196" s="1158"/>
      <c r="L196" s="1158"/>
      <c r="M196" s="1158"/>
      <c r="N196" s="1158"/>
      <c r="O196" s="1158"/>
    </row>
    <row r="197" spans="1:15" ht="21.75" customHeight="1" x14ac:dyDescent="0.25">
      <c r="B197" s="1158" t="s">
        <v>996</v>
      </c>
      <c r="C197" s="1158"/>
      <c r="D197" s="778" t="s">
        <v>7</v>
      </c>
      <c r="E197" s="778"/>
      <c r="F197" s="778"/>
      <c r="G197" s="778"/>
      <c r="H197" s="778" t="s">
        <v>8</v>
      </c>
      <c r="I197" s="778"/>
      <c r="J197" s="778"/>
      <c r="K197" s="778"/>
      <c r="L197" s="778" t="s">
        <v>993</v>
      </c>
      <c r="M197" s="778"/>
      <c r="N197" s="778"/>
      <c r="O197" s="778"/>
    </row>
    <row r="198" spans="1:15" ht="33" customHeight="1" x14ac:dyDescent="0.25">
      <c r="B198" s="1158"/>
      <c r="C198" s="1158"/>
      <c r="D198" s="200" t="s">
        <v>826</v>
      </c>
      <c r="E198" s="200" t="s">
        <v>827</v>
      </c>
      <c r="F198" s="200" t="s">
        <v>970</v>
      </c>
      <c r="G198" s="200" t="s">
        <v>985</v>
      </c>
      <c r="H198" s="468" t="s">
        <v>826</v>
      </c>
      <c r="I198" s="200" t="s">
        <v>827</v>
      </c>
      <c r="J198" s="200" t="s">
        <v>970</v>
      </c>
      <c r="K198" s="200" t="s">
        <v>985</v>
      </c>
      <c r="L198" s="468" t="s">
        <v>826</v>
      </c>
      <c r="M198" s="200" t="s">
        <v>827</v>
      </c>
      <c r="N198" s="200" t="s">
        <v>970</v>
      </c>
      <c r="O198" s="200" t="s">
        <v>985</v>
      </c>
    </row>
    <row r="199" spans="1:15" ht="18.75" customHeight="1" x14ac:dyDescent="0.25">
      <c r="B199" s="1154" t="s">
        <v>422</v>
      </c>
      <c r="C199" s="1154"/>
      <c r="D199" s="471">
        <v>0</v>
      </c>
      <c r="E199" s="471">
        <v>0</v>
      </c>
      <c r="F199" s="471">
        <v>0</v>
      </c>
      <c r="G199" s="471">
        <v>0</v>
      </c>
      <c r="H199" s="411">
        <v>1</v>
      </c>
      <c r="I199" s="471">
        <v>2</v>
      </c>
      <c r="J199" s="471">
        <v>0</v>
      </c>
      <c r="K199" s="471">
        <v>3</v>
      </c>
      <c r="L199" s="471">
        <v>0</v>
      </c>
      <c r="M199" s="471">
        <v>0</v>
      </c>
      <c r="N199" s="471">
        <v>0</v>
      </c>
      <c r="O199" s="471">
        <v>0</v>
      </c>
    </row>
    <row r="200" spans="1:15" ht="108.75" customHeight="1" thickBot="1" x14ac:dyDescent="0.3">
      <c r="B200" s="1141" t="s">
        <v>1012</v>
      </c>
      <c r="C200" s="1141"/>
      <c r="D200" s="551" t="s">
        <v>51</v>
      </c>
      <c r="E200" s="551" t="s">
        <v>51</v>
      </c>
      <c r="F200" s="551" t="s">
        <v>51</v>
      </c>
      <c r="G200" s="572" t="s">
        <v>51</v>
      </c>
      <c r="H200" s="573" t="s">
        <v>1286</v>
      </c>
      <c r="I200" s="551" t="s">
        <v>1286</v>
      </c>
      <c r="J200" s="551" t="s">
        <v>51</v>
      </c>
      <c r="K200" s="572" t="s">
        <v>1286</v>
      </c>
      <c r="L200" s="573" t="s">
        <v>51</v>
      </c>
      <c r="M200" s="551" t="s">
        <v>51</v>
      </c>
      <c r="N200" s="551" t="s">
        <v>51</v>
      </c>
      <c r="O200" s="551" t="s">
        <v>51</v>
      </c>
    </row>
    <row r="201" spans="1:15" ht="39" customHeight="1" thickBot="1" x14ac:dyDescent="0.3">
      <c r="B201" s="1145" t="s">
        <v>1153</v>
      </c>
      <c r="C201" s="1145"/>
      <c r="D201" s="574" t="s">
        <v>51</v>
      </c>
      <c r="E201" s="574" t="s">
        <v>51</v>
      </c>
      <c r="F201" s="574" t="s">
        <v>51</v>
      </c>
      <c r="G201" s="575" t="s">
        <v>51</v>
      </c>
      <c r="H201" s="576" t="s">
        <v>986</v>
      </c>
      <c r="I201" s="574" t="s">
        <v>986</v>
      </c>
      <c r="J201" s="574" t="s">
        <v>51</v>
      </c>
      <c r="K201" s="575" t="s">
        <v>986</v>
      </c>
      <c r="L201" s="576" t="s">
        <v>51</v>
      </c>
      <c r="M201" s="574" t="s">
        <v>51</v>
      </c>
      <c r="N201" s="574" t="s">
        <v>51</v>
      </c>
      <c r="O201" s="574" t="s">
        <v>51</v>
      </c>
    </row>
    <row r="202" spans="1:15" ht="39" customHeight="1" thickBot="1" x14ac:dyDescent="0.3">
      <c r="B202" s="1145" t="s">
        <v>1155</v>
      </c>
      <c r="C202" s="1145"/>
      <c r="D202" s="574" t="s">
        <v>51</v>
      </c>
      <c r="E202" s="574" t="s">
        <v>51</v>
      </c>
      <c r="F202" s="574" t="s">
        <v>51</v>
      </c>
      <c r="G202" s="575" t="s">
        <v>51</v>
      </c>
      <c r="H202" s="576" t="s">
        <v>428</v>
      </c>
      <c r="I202" s="574" t="s">
        <v>986</v>
      </c>
      <c r="J202" s="574" t="s">
        <v>51</v>
      </c>
      <c r="K202" s="575" t="s">
        <v>1272</v>
      </c>
      <c r="L202" s="576" t="s">
        <v>51</v>
      </c>
      <c r="M202" s="574" t="s">
        <v>51</v>
      </c>
      <c r="N202" s="574" t="s">
        <v>51</v>
      </c>
      <c r="O202" s="574" t="s">
        <v>51</v>
      </c>
    </row>
    <row r="203" spans="1:15" ht="48.75" customHeight="1" thickBot="1" x14ac:dyDescent="0.3">
      <c r="B203" s="1143" t="s">
        <v>1013</v>
      </c>
      <c r="C203" s="1143"/>
      <c r="D203" s="551" t="s">
        <v>51</v>
      </c>
      <c r="E203" s="551" t="s">
        <v>51</v>
      </c>
      <c r="F203" s="551" t="s">
        <v>51</v>
      </c>
      <c r="G203" s="572" t="s">
        <v>51</v>
      </c>
      <c r="H203" s="573" t="s">
        <v>986</v>
      </c>
      <c r="I203" s="551" t="s">
        <v>1008</v>
      </c>
      <c r="J203" s="551" t="s">
        <v>51</v>
      </c>
      <c r="K203" s="572" t="s">
        <v>1272</v>
      </c>
      <c r="L203" s="573" t="s">
        <v>51</v>
      </c>
      <c r="M203" s="551" t="s">
        <v>51</v>
      </c>
      <c r="N203" s="551" t="s">
        <v>51</v>
      </c>
      <c r="O203" s="551" t="s">
        <v>51</v>
      </c>
    </row>
    <row r="204" spans="1:15" ht="48.75" customHeight="1" thickBot="1" x14ac:dyDescent="0.3">
      <c r="B204" s="1142" t="s">
        <v>1014</v>
      </c>
      <c r="C204" s="1142"/>
      <c r="D204" s="551" t="s">
        <v>51</v>
      </c>
      <c r="E204" s="551" t="s">
        <v>51</v>
      </c>
      <c r="F204" s="551" t="s">
        <v>51</v>
      </c>
      <c r="G204" s="572" t="s">
        <v>51</v>
      </c>
      <c r="H204" s="573" t="s">
        <v>51</v>
      </c>
      <c r="I204" s="551" t="s">
        <v>1287</v>
      </c>
      <c r="J204" s="551" t="s">
        <v>51</v>
      </c>
      <c r="K204" s="572" t="s">
        <v>1287</v>
      </c>
      <c r="L204" s="573" t="s">
        <v>51</v>
      </c>
      <c r="M204" s="551" t="s">
        <v>51</v>
      </c>
      <c r="N204" s="551" t="s">
        <v>51</v>
      </c>
      <c r="O204" s="551" t="s">
        <v>51</v>
      </c>
    </row>
    <row r="205" spans="1:15" ht="48.75" customHeight="1" thickBot="1" x14ac:dyDescent="0.3">
      <c r="B205" s="1142" t="s">
        <v>1015</v>
      </c>
      <c r="C205" s="1142"/>
      <c r="D205" s="551" t="s">
        <v>51</v>
      </c>
      <c r="E205" s="551" t="s">
        <v>51</v>
      </c>
      <c r="F205" s="551" t="s">
        <v>51</v>
      </c>
      <c r="G205" s="572" t="s">
        <v>51</v>
      </c>
      <c r="H205" s="573" t="s">
        <v>51</v>
      </c>
      <c r="I205" s="551" t="s">
        <v>986</v>
      </c>
      <c r="J205" s="551" t="s">
        <v>51</v>
      </c>
      <c r="K205" s="572" t="s">
        <v>986</v>
      </c>
      <c r="L205" s="573" t="s">
        <v>51</v>
      </c>
      <c r="M205" s="551" t="s">
        <v>51</v>
      </c>
      <c r="N205" s="551" t="s">
        <v>51</v>
      </c>
      <c r="O205" s="551" t="s">
        <v>51</v>
      </c>
    </row>
    <row r="206" spans="1:15" ht="69" customHeight="1" thickBot="1" x14ac:dyDescent="0.3">
      <c r="B206" s="1142" t="s">
        <v>1020</v>
      </c>
      <c r="C206" s="1142"/>
      <c r="D206" s="577" t="s">
        <v>51</v>
      </c>
      <c r="E206" s="578" t="s">
        <v>51</v>
      </c>
      <c r="F206" s="578" t="s">
        <v>51</v>
      </c>
      <c r="G206" s="579" t="s">
        <v>51</v>
      </c>
      <c r="H206" s="580">
        <v>5</v>
      </c>
      <c r="I206" s="578">
        <v>3</v>
      </c>
      <c r="J206" s="578" t="s">
        <v>51</v>
      </c>
      <c r="K206" s="579">
        <v>3.6</v>
      </c>
      <c r="L206" s="580" t="s">
        <v>51</v>
      </c>
      <c r="M206" s="578" t="s">
        <v>51</v>
      </c>
      <c r="N206" s="578" t="s">
        <v>51</v>
      </c>
      <c r="O206" s="578" t="s">
        <v>51</v>
      </c>
    </row>
    <row r="207" spans="1:15" ht="48.75" customHeight="1" thickBot="1" x14ac:dyDescent="0.3">
      <c r="B207" s="1143" t="s">
        <v>1157</v>
      </c>
      <c r="C207" s="1143"/>
      <c r="D207" s="551" t="s">
        <v>51</v>
      </c>
      <c r="E207" s="551" t="s">
        <v>51</v>
      </c>
      <c r="F207" s="551" t="s">
        <v>51</v>
      </c>
      <c r="G207" s="572" t="s">
        <v>51</v>
      </c>
      <c r="H207" s="573" t="s">
        <v>986</v>
      </c>
      <c r="I207" s="551" t="s">
        <v>428</v>
      </c>
      <c r="J207" s="551" t="s">
        <v>51</v>
      </c>
      <c r="K207" s="572" t="s">
        <v>1273</v>
      </c>
      <c r="L207" s="573" t="s">
        <v>51</v>
      </c>
      <c r="M207" s="551" t="s">
        <v>51</v>
      </c>
      <c r="N207" s="551" t="s">
        <v>51</v>
      </c>
      <c r="O207" s="551" t="s">
        <v>51</v>
      </c>
    </row>
    <row r="208" spans="1:15" ht="48.75" customHeight="1" thickBot="1" x14ac:dyDescent="0.3">
      <c r="B208" s="1142" t="s">
        <v>1158</v>
      </c>
      <c r="C208" s="1142"/>
      <c r="D208" s="578" t="s">
        <v>51</v>
      </c>
      <c r="E208" s="578" t="s">
        <v>51</v>
      </c>
      <c r="F208" s="578" t="s">
        <v>51</v>
      </c>
      <c r="G208" s="579" t="s">
        <v>51</v>
      </c>
      <c r="H208" s="580">
        <v>5</v>
      </c>
      <c r="I208" s="578">
        <v>8.5</v>
      </c>
      <c r="J208" s="578" t="s">
        <v>51</v>
      </c>
      <c r="K208" s="579">
        <v>7.3</v>
      </c>
      <c r="L208" s="580" t="s">
        <v>51</v>
      </c>
      <c r="M208" s="578" t="s">
        <v>51</v>
      </c>
      <c r="N208" s="578" t="s">
        <v>51</v>
      </c>
      <c r="O208" s="578" t="s">
        <v>51</v>
      </c>
    </row>
    <row r="209" spans="2:15" ht="48.75" customHeight="1" thickBot="1" x14ac:dyDescent="0.3">
      <c r="B209" s="1143" t="s">
        <v>1159</v>
      </c>
      <c r="C209" s="1143"/>
      <c r="D209" s="578" t="s">
        <v>51</v>
      </c>
      <c r="E209" s="578" t="s">
        <v>51</v>
      </c>
      <c r="F209" s="578" t="s">
        <v>51</v>
      </c>
      <c r="G209" s="579" t="s">
        <v>51</v>
      </c>
      <c r="H209" s="580">
        <v>4</v>
      </c>
      <c r="I209" s="578">
        <v>9.5</v>
      </c>
      <c r="J209" s="578" t="s">
        <v>51</v>
      </c>
      <c r="K209" s="579">
        <v>7.6</v>
      </c>
      <c r="L209" s="580" t="s">
        <v>51</v>
      </c>
      <c r="M209" s="578" t="s">
        <v>51</v>
      </c>
      <c r="N209" s="578" t="s">
        <v>51</v>
      </c>
      <c r="O209" s="578" t="s">
        <v>51</v>
      </c>
    </row>
    <row r="210" spans="2:15" ht="38.25" customHeight="1" thickBot="1" x14ac:dyDescent="0.3">
      <c r="B210" s="1143" t="s">
        <v>1160</v>
      </c>
      <c r="C210" s="1143"/>
      <c r="D210" s="577" t="s">
        <v>51</v>
      </c>
      <c r="E210" s="577" t="s">
        <v>51</v>
      </c>
      <c r="F210" s="577" t="s">
        <v>51</v>
      </c>
      <c r="G210" s="581" t="s">
        <v>51</v>
      </c>
      <c r="H210" s="582">
        <v>3</v>
      </c>
      <c r="I210" s="577">
        <v>9</v>
      </c>
      <c r="J210" s="577" t="s">
        <v>51</v>
      </c>
      <c r="K210" s="581">
        <v>7</v>
      </c>
      <c r="L210" s="583" t="s">
        <v>51</v>
      </c>
      <c r="M210" s="577" t="s">
        <v>51</v>
      </c>
      <c r="N210" s="577" t="s">
        <v>51</v>
      </c>
      <c r="O210" s="577" t="s">
        <v>51</v>
      </c>
    </row>
    <row r="211" spans="2:15" ht="38.25" customHeight="1" thickBot="1" x14ac:dyDescent="0.3">
      <c r="B211" s="1143" t="s">
        <v>1161</v>
      </c>
      <c r="C211" s="1143"/>
      <c r="D211" s="577" t="s">
        <v>51</v>
      </c>
      <c r="E211" s="577" t="s">
        <v>51</v>
      </c>
      <c r="F211" s="577" t="s">
        <v>51</v>
      </c>
      <c r="G211" s="581" t="s">
        <v>51</v>
      </c>
      <c r="H211" s="582">
        <v>5</v>
      </c>
      <c r="I211" s="577">
        <v>5</v>
      </c>
      <c r="J211" s="577" t="s">
        <v>51</v>
      </c>
      <c r="K211" s="581">
        <v>5</v>
      </c>
      <c r="L211" s="583" t="s">
        <v>51</v>
      </c>
      <c r="M211" s="577" t="s">
        <v>51</v>
      </c>
      <c r="N211" s="577" t="s">
        <v>51</v>
      </c>
      <c r="O211" s="577" t="s">
        <v>51</v>
      </c>
    </row>
    <row r="212" spans="2:15" ht="48.75" customHeight="1" thickBot="1" x14ac:dyDescent="0.3">
      <c r="B212" s="1142" t="s">
        <v>1169</v>
      </c>
      <c r="C212" s="1142"/>
      <c r="D212" s="578" t="s">
        <v>51</v>
      </c>
      <c r="E212" s="578" t="s">
        <v>51</v>
      </c>
      <c r="F212" s="578" t="s">
        <v>51</v>
      </c>
      <c r="G212" s="579" t="s">
        <v>51</v>
      </c>
      <c r="H212" s="580">
        <v>1</v>
      </c>
      <c r="I212" s="578">
        <v>8.5</v>
      </c>
      <c r="J212" s="578" t="s">
        <v>51</v>
      </c>
      <c r="K212" s="579">
        <v>6</v>
      </c>
      <c r="L212" s="580" t="s">
        <v>51</v>
      </c>
      <c r="M212" s="578" t="s">
        <v>51</v>
      </c>
      <c r="N212" s="578" t="s">
        <v>51</v>
      </c>
      <c r="O212" s="578" t="s">
        <v>51</v>
      </c>
    </row>
    <row r="213" spans="2:15" ht="48.75" customHeight="1" thickBot="1" x14ac:dyDescent="0.3">
      <c r="B213" s="1142" t="s">
        <v>1170</v>
      </c>
      <c r="C213" s="1142"/>
      <c r="D213" s="578" t="s">
        <v>51</v>
      </c>
      <c r="E213" s="578" t="s">
        <v>51</v>
      </c>
      <c r="F213" s="578" t="s">
        <v>51</v>
      </c>
      <c r="G213" s="579" t="s">
        <v>51</v>
      </c>
      <c r="H213" s="580">
        <v>1</v>
      </c>
      <c r="I213" s="578">
        <v>7.5</v>
      </c>
      <c r="J213" s="578" t="s">
        <v>51</v>
      </c>
      <c r="K213" s="579">
        <v>5.3</v>
      </c>
      <c r="L213" s="580" t="s">
        <v>51</v>
      </c>
      <c r="M213" s="578" t="s">
        <v>51</v>
      </c>
      <c r="N213" s="578" t="s">
        <v>51</v>
      </c>
      <c r="O213" s="578" t="s">
        <v>51</v>
      </c>
    </row>
    <row r="214" spans="2:15" ht="48.75" customHeight="1" thickBot="1" x14ac:dyDescent="0.3">
      <c r="B214" s="1142" t="s">
        <v>1171</v>
      </c>
      <c r="C214" s="1142"/>
      <c r="D214" s="578" t="s">
        <v>51</v>
      </c>
      <c r="E214" s="578" t="s">
        <v>51</v>
      </c>
      <c r="F214" s="578" t="s">
        <v>51</v>
      </c>
      <c r="G214" s="579" t="s">
        <v>51</v>
      </c>
      <c r="H214" s="580">
        <v>5</v>
      </c>
      <c r="I214" s="578">
        <v>7</v>
      </c>
      <c r="J214" s="578" t="s">
        <v>51</v>
      </c>
      <c r="K214" s="579">
        <v>6.3</v>
      </c>
      <c r="L214" s="580" t="s">
        <v>51</v>
      </c>
      <c r="M214" s="578" t="s">
        <v>51</v>
      </c>
      <c r="N214" s="578" t="s">
        <v>51</v>
      </c>
      <c r="O214" s="578" t="s">
        <v>51</v>
      </c>
    </row>
    <row r="215" spans="2:15" ht="48.75" customHeight="1" thickBot="1" x14ac:dyDescent="0.3">
      <c r="B215" s="1142" t="s">
        <v>1172</v>
      </c>
      <c r="C215" s="1142"/>
      <c r="D215" s="578" t="s">
        <v>51</v>
      </c>
      <c r="E215" s="578" t="s">
        <v>51</v>
      </c>
      <c r="F215" s="578" t="s">
        <v>51</v>
      </c>
      <c r="G215" s="579" t="s">
        <v>51</v>
      </c>
      <c r="H215" s="580">
        <v>4</v>
      </c>
      <c r="I215" s="578">
        <v>9.5</v>
      </c>
      <c r="J215" s="578" t="s">
        <v>51</v>
      </c>
      <c r="K215" s="579">
        <v>7.6</v>
      </c>
      <c r="L215" s="580" t="s">
        <v>51</v>
      </c>
      <c r="M215" s="578" t="s">
        <v>51</v>
      </c>
      <c r="N215" s="578" t="s">
        <v>51</v>
      </c>
      <c r="O215" s="578" t="s">
        <v>51</v>
      </c>
    </row>
    <row r="216" spans="2:15" ht="48.75" customHeight="1" thickBot="1" x14ac:dyDescent="0.3">
      <c r="B216" s="1142" t="s">
        <v>1173</v>
      </c>
      <c r="C216" s="1142"/>
      <c r="D216" s="578" t="s">
        <v>51</v>
      </c>
      <c r="E216" s="578" t="s">
        <v>51</v>
      </c>
      <c r="F216" s="578" t="s">
        <v>51</v>
      </c>
      <c r="G216" s="579" t="s">
        <v>51</v>
      </c>
      <c r="H216" s="580">
        <v>5</v>
      </c>
      <c r="I216" s="578">
        <v>9.5</v>
      </c>
      <c r="J216" s="578" t="s">
        <v>51</v>
      </c>
      <c r="K216" s="579">
        <v>8</v>
      </c>
      <c r="L216" s="580" t="s">
        <v>51</v>
      </c>
      <c r="M216" s="578" t="s">
        <v>51</v>
      </c>
      <c r="N216" s="578" t="s">
        <v>51</v>
      </c>
      <c r="O216" s="578" t="s">
        <v>51</v>
      </c>
    </row>
    <row r="217" spans="2:15" ht="48.75" customHeight="1" thickBot="1" x14ac:dyDescent="0.3">
      <c r="B217" s="1142" t="s">
        <v>1174</v>
      </c>
      <c r="C217" s="1142"/>
      <c r="D217" s="578" t="s">
        <v>51</v>
      </c>
      <c r="E217" s="578" t="s">
        <v>51</v>
      </c>
      <c r="F217" s="578" t="s">
        <v>51</v>
      </c>
      <c r="G217" s="579" t="s">
        <v>51</v>
      </c>
      <c r="H217" s="580">
        <v>4</v>
      </c>
      <c r="I217" s="578">
        <v>9.5</v>
      </c>
      <c r="J217" s="578" t="s">
        <v>51</v>
      </c>
      <c r="K217" s="579">
        <v>7.6</v>
      </c>
      <c r="L217" s="580" t="s">
        <v>51</v>
      </c>
      <c r="M217" s="578" t="s">
        <v>51</v>
      </c>
      <c r="N217" s="578" t="s">
        <v>51</v>
      </c>
      <c r="O217" s="578" t="s">
        <v>51</v>
      </c>
    </row>
    <row r="218" spans="2:15" ht="48.75" customHeight="1" thickBot="1" x14ac:dyDescent="0.3">
      <c r="B218" s="1143" t="s">
        <v>1175</v>
      </c>
      <c r="C218" s="1143"/>
      <c r="D218" s="578" t="s">
        <v>51</v>
      </c>
      <c r="E218" s="578" t="s">
        <v>51</v>
      </c>
      <c r="F218" s="578" t="s">
        <v>51</v>
      </c>
      <c r="G218" s="579" t="s">
        <v>51</v>
      </c>
      <c r="H218" s="580">
        <v>4</v>
      </c>
      <c r="I218" s="578">
        <v>8.5</v>
      </c>
      <c r="J218" s="578" t="s">
        <v>51</v>
      </c>
      <c r="K218" s="579">
        <v>7</v>
      </c>
      <c r="L218" s="580" t="s">
        <v>51</v>
      </c>
      <c r="M218" s="578" t="s">
        <v>51</v>
      </c>
      <c r="N218" s="578" t="s">
        <v>51</v>
      </c>
      <c r="O218" s="578" t="s">
        <v>51</v>
      </c>
    </row>
    <row r="219" spans="2:15" ht="48.75" customHeight="1" thickBot="1" x14ac:dyDescent="0.3">
      <c r="B219" s="1142" t="s">
        <v>1176</v>
      </c>
      <c r="C219" s="1142"/>
      <c r="D219" s="578" t="s">
        <v>51</v>
      </c>
      <c r="E219" s="578" t="s">
        <v>51</v>
      </c>
      <c r="F219" s="578" t="s">
        <v>51</v>
      </c>
      <c r="G219" s="579" t="s">
        <v>51</v>
      </c>
      <c r="H219" s="580">
        <v>3</v>
      </c>
      <c r="I219" s="578">
        <v>9.5</v>
      </c>
      <c r="J219" s="578" t="s">
        <v>51</v>
      </c>
      <c r="K219" s="579">
        <v>7.3</v>
      </c>
      <c r="L219" s="580" t="s">
        <v>51</v>
      </c>
      <c r="M219" s="578" t="s">
        <v>51</v>
      </c>
      <c r="N219" s="578" t="s">
        <v>51</v>
      </c>
      <c r="O219" s="578" t="s">
        <v>51</v>
      </c>
    </row>
    <row r="220" spans="2:15" ht="48.75" customHeight="1" thickBot="1" x14ac:dyDescent="0.3">
      <c r="B220" s="1142" t="s">
        <v>1177</v>
      </c>
      <c r="C220" s="1142"/>
      <c r="D220" s="578" t="s">
        <v>51</v>
      </c>
      <c r="E220" s="578" t="s">
        <v>51</v>
      </c>
      <c r="F220" s="578" t="s">
        <v>51</v>
      </c>
      <c r="G220" s="579" t="s">
        <v>51</v>
      </c>
      <c r="H220" s="580">
        <v>3</v>
      </c>
      <c r="I220" s="578">
        <v>9</v>
      </c>
      <c r="J220" s="578" t="s">
        <v>51</v>
      </c>
      <c r="K220" s="579">
        <v>7</v>
      </c>
      <c r="L220" s="580" t="s">
        <v>51</v>
      </c>
      <c r="M220" s="578" t="s">
        <v>51</v>
      </c>
      <c r="N220" s="578" t="s">
        <v>51</v>
      </c>
      <c r="O220" s="578" t="s">
        <v>51</v>
      </c>
    </row>
    <row r="221" spans="2:15" ht="48.75" customHeight="1" thickBot="1" x14ac:dyDescent="0.3">
      <c r="B221" s="1142" t="s">
        <v>1178</v>
      </c>
      <c r="C221" s="1142"/>
      <c r="D221" s="578" t="s">
        <v>51</v>
      </c>
      <c r="E221" s="578" t="s">
        <v>51</v>
      </c>
      <c r="F221" s="578" t="s">
        <v>51</v>
      </c>
      <c r="G221" s="579" t="s">
        <v>51</v>
      </c>
      <c r="H221" s="580">
        <v>5</v>
      </c>
      <c r="I221" s="578">
        <v>8</v>
      </c>
      <c r="J221" s="578" t="s">
        <v>51</v>
      </c>
      <c r="K221" s="579">
        <v>7</v>
      </c>
      <c r="L221" s="580" t="s">
        <v>51</v>
      </c>
      <c r="M221" s="578" t="s">
        <v>51</v>
      </c>
      <c r="N221" s="578" t="s">
        <v>51</v>
      </c>
      <c r="O221" s="578" t="s">
        <v>51</v>
      </c>
    </row>
    <row r="222" spans="2:15" ht="48.75" customHeight="1" thickBot="1" x14ac:dyDescent="0.3">
      <c r="B222" s="1142" t="s">
        <v>1179</v>
      </c>
      <c r="C222" s="1142"/>
      <c r="D222" s="578" t="s">
        <v>51</v>
      </c>
      <c r="E222" s="578" t="s">
        <v>51</v>
      </c>
      <c r="F222" s="578" t="s">
        <v>51</v>
      </c>
      <c r="G222" s="579" t="s">
        <v>51</v>
      </c>
      <c r="H222" s="580">
        <v>4</v>
      </c>
      <c r="I222" s="578">
        <v>9</v>
      </c>
      <c r="J222" s="578" t="s">
        <v>51</v>
      </c>
      <c r="K222" s="579">
        <v>7.3</v>
      </c>
      <c r="L222" s="580" t="s">
        <v>51</v>
      </c>
      <c r="M222" s="578" t="s">
        <v>51</v>
      </c>
      <c r="N222" s="578" t="s">
        <v>51</v>
      </c>
      <c r="O222" s="578" t="s">
        <v>51</v>
      </c>
    </row>
    <row r="223" spans="2:15" ht="48.75" customHeight="1" thickBot="1" x14ac:dyDescent="0.3">
      <c r="B223" s="1142" t="s">
        <v>1180</v>
      </c>
      <c r="C223" s="1142"/>
      <c r="D223" s="578" t="s">
        <v>51</v>
      </c>
      <c r="E223" s="578" t="s">
        <v>51</v>
      </c>
      <c r="F223" s="578" t="s">
        <v>51</v>
      </c>
      <c r="G223" s="579" t="s">
        <v>51</v>
      </c>
      <c r="H223" s="580">
        <v>6</v>
      </c>
      <c r="I223" s="578">
        <v>10</v>
      </c>
      <c r="J223" s="578" t="s">
        <v>51</v>
      </c>
      <c r="K223" s="579">
        <v>8.6</v>
      </c>
      <c r="L223" s="580" t="s">
        <v>51</v>
      </c>
      <c r="M223" s="578" t="s">
        <v>51</v>
      </c>
      <c r="N223" s="578" t="s">
        <v>51</v>
      </c>
      <c r="O223" s="578" t="s">
        <v>51</v>
      </c>
    </row>
    <row r="224" spans="2:15" ht="48.75" customHeight="1" thickBot="1" x14ac:dyDescent="0.3">
      <c r="B224" s="1143" t="s">
        <v>1181</v>
      </c>
      <c r="C224" s="1143"/>
      <c r="D224" s="578" t="s">
        <v>51</v>
      </c>
      <c r="E224" s="578" t="s">
        <v>51</v>
      </c>
      <c r="F224" s="578" t="s">
        <v>51</v>
      </c>
      <c r="G224" s="579" t="s">
        <v>51</v>
      </c>
      <c r="H224" s="580">
        <v>5</v>
      </c>
      <c r="I224" s="578">
        <v>9.5</v>
      </c>
      <c r="J224" s="578" t="s">
        <v>51</v>
      </c>
      <c r="K224" s="579">
        <v>8</v>
      </c>
      <c r="L224" s="580" t="s">
        <v>51</v>
      </c>
      <c r="M224" s="578" t="s">
        <v>51</v>
      </c>
      <c r="N224" s="578" t="s">
        <v>51</v>
      </c>
      <c r="O224" s="578" t="s">
        <v>51</v>
      </c>
    </row>
    <row r="225" spans="1:15" ht="48.75" customHeight="1" thickBot="1" x14ac:dyDescent="0.3">
      <c r="B225" s="1142" t="s">
        <v>1182</v>
      </c>
      <c r="C225" s="1142"/>
      <c r="D225" s="578" t="s">
        <v>51</v>
      </c>
      <c r="E225" s="578" t="s">
        <v>51</v>
      </c>
      <c r="F225" s="578" t="s">
        <v>51</v>
      </c>
      <c r="G225" s="579" t="s">
        <v>51</v>
      </c>
      <c r="H225" s="580">
        <v>7</v>
      </c>
      <c r="I225" s="578">
        <v>9.5</v>
      </c>
      <c r="J225" s="578" t="s">
        <v>51</v>
      </c>
      <c r="K225" s="579">
        <v>8.6</v>
      </c>
      <c r="L225" s="580" t="s">
        <v>51</v>
      </c>
      <c r="M225" s="578" t="s">
        <v>51</v>
      </c>
      <c r="N225" s="578" t="s">
        <v>51</v>
      </c>
      <c r="O225" s="578" t="s">
        <v>51</v>
      </c>
    </row>
    <row r="226" spans="1:15" ht="48.75" customHeight="1" thickBot="1" x14ac:dyDescent="0.3">
      <c r="B226" s="1142" t="s">
        <v>1183</v>
      </c>
      <c r="C226" s="1142"/>
      <c r="D226" s="551" t="s">
        <v>51</v>
      </c>
      <c r="E226" s="551" t="s">
        <v>51</v>
      </c>
      <c r="F226" s="551" t="s">
        <v>51</v>
      </c>
      <c r="G226" s="572" t="s">
        <v>51</v>
      </c>
      <c r="H226" s="580" t="s">
        <v>428</v>
      </c>
      <c r="I226" s="551" t="s">
        <v>1008</v>
      </c>
      <c r="J226" s="551" t="s">
        <v>51</v>
      </c>
      <c r="K226" s="572" t="s">
        <v>1273</v>
      </c>
      <c r="L226" s="573" t="s">
        <v>51</v>
      </c>
      <c r="M226" s="551" t="s">
        <v>51</v>
      </c>
      <c r="N226" s="551" t="s">
        <v>51</v>
      </c>
      <c r="O226" s="551" t="s">
        <v>51</v>
      </c>
    </row>
    <row r="227" spans="1:15" ht="48.75" customHeight="1" thickBot="1" x14ac:dyDescent="0.3">
      <c r="B227" s="1142" t="s">
        <v>1184</v>
      </c>
      <c r="C227" s="1142"/>
      <c r="D227" s="551" t="s">
        <v>51</v>
      </c>
      <c r="E227" s="551" t="s">
        <v>51</v>
      </c>
      <c r="F227" s="551" t="s">
        <v>51</v>
      </c>
      <c r="G227" s="572" t="s">
        <v>51</v>
      </c>
      <c r="H227" s="580" t="s">
        <v>428</v>
      </c>
      <c r="I227" s="551" t="s">
        <v>1008</v>
      </c>
      <c r="J227" s="551" t="s">
        <v>51</v>
      </c>
      <c r="K227" s="572" t="s">
        <v>1273</v>
      </c>
      <c r="L227" s="573" t="s">
        <v>51</v>
      </c>
      <c r="M227" s="551" t="s">
        <v>51</v>
      </c>
      <c r="N227" s="551" t="s">
        <v>51</v>
      </c>
      <c r="O227" s="551" t="s">
        <v>51</v>
      </c>
    </row>
    <row r="228" spans="1:15" ht="48.75" customHeight="1" thickBot="1" x14ac:dyDescent="0.3">
      <c r="B228" s="1142" t="s">
        <v>1185</v>
      </c>
      <c r="C228" s="1142"/>
      <c r="D228" s="578" t="s">
        <v>51</v>
      </c>
      <c r="E228" s="578" t="s">
        <v>51</v>
      </c>
      <c r="F228" s="578" t="s">
        <v>51</v>
      </c>
      <c r="G228" s="579" t="s">
        <v>51</v>
      </c>
      <c r="H228" s="580">
        <v>7</v>
      </c>
      <c r="I228" s="551">
        <v>9.5</v>
      </c>
      <c r="J228" s="578" t="s">
        <v>51</v>
      </c>
      <c r="K228" s="579">
        <v>8.6</v>
      </c>
      <c r="L228" s="580" t="s">
        <v>51</v>
      </c>
      <c r="M228" s="578" t="s">
        <v>51</v>
      </c>
      <c r="N228" s="578" t="s">
        <v>51</v>
      </c>
      <c r="O228" s="578" t="s">
        <v>51</v>
      </c>
    </row>
    <row r="229" spans="1:15" ht="48.75" customHeight="1" thickBot="1" x14ac:dyDescent="0.3">
      <c r="B229" s="1143" t="s">
        <v>1186</v>
      </c>
      <c r="C229" s="1143"/>
      <c r="D229" s="578" t="s">
        <v>51</v>
      </c>
      <c r="E229" s="578" t="s">
        <v>51</v>
      </c>
      <c r="F229" s="578" t="s">
        <v>51</v>
      </c>
      <c r="G229" s="579" t="s">
        <v>51</v>
      </c>
      <c r="H229" s="580">
        <v>6</v>
      </c>
      <c r="I229" s="578">
        <v>10</v>
      </c>
      <c r="J229" s="578" t="s">
        <v>51</v>
      </c>
      <c r="K229" s="579">
        <v>8</v>
      </c>
      <c r="L229" s="580" t="s">
        <v>51</v>
      </c>
      <c r="M229" s="578" t="s">
        <v>51</v>
      </c>
      <c r="N229" s="578" t="s">
        <v>51</v>
      </c>
      <c r="O229" s="578" t="s">
        <v>51</v>
      </c>
    </row>
    <row r="230" spans="1:15" ht="48.75" customHeight="1" thickBot="1" x14ac:dyDescent="0.3">
      <c r="B230" s="1142" t="s">
        <v>1187</v>
      </c>
      <c r="C230" s="1142"/>
      <c r="D230" s="551" t="s">
        <v>51</v>
      </c>
      <c r="E230" s="551" t="s">
        <v>51</v>
      </c>
      <c r="F230" s="551" t="s">
        <v>51</v>
      </c>
      <c r="G230" s="572" t="s">
        <v>51</v>
      </c>
      <c r="H230" s="573" t="s">
        <v>428</v>
      </c>
      <c r="I230" s="551" t="s">
        <v>428</v>
      </c>
      <c r="J230" s="551" t="s">
        <v>51</v>
      </c>
      <c r="K230" s="572" t="s">
        <v>428</v>
      </c>
      <c r="L230" s="573" t="s">
        <v>51</v>
      </c>
      <c r="M230" s="551" t="s">
        <v>51</v>
      </c>
      <c r="N230" s="551" t="s">
        <v>51</v>
      </c>
      <c r="O230" s="551" t="s">
        <v>51</v>
      </c>
    </row>
    <row r="231" spans="1:15" ht="48.75" customHeight="1" thickBot="1" x14ac:dyDescent="0.3">
      <c r="B231" s="1143" t="s">
        <v>1188</v>
      </c>
      <c r="C231" s="1143"/>
      <c r="D231" s="551" t="s">
        <v>51</v>
      </c>
      <c r="E231" s="551" t="s">
        <v>51</v>
      </c>
      <c r="F231" s="551" t="s">
        <v>51</v>
      </c>
      <c r="G231" s="572" t="s">
        <v>51</v>
      </c>
      <c r="H231" s="573" t="s">
        <v>428</v>
      </c>
      <c r="I231" s="551" t="s">
        <v>428</v>
      </c>
      <c r="J231" s="551" t="s">
        <v>51</v>
      </c>
      <c r="K231" s="572" t="s">
        <v>428</v>
      </c>
      <c r="L231" s="573" t="s">
        <v>51</v>
      </c>
      <c r="M231" s="551" t="s">
        <v>51</v>
      </c>
      <c r="N231" s="551" t="s">
        <v>51</v>
      </c>
      <c r="O231" s="551" t="s">
        <v>51</v>
      </c>
    </row>
    <row r="232" spans="1:15" ht="48.75" customHeight="1" thickBot="1" x14ac:dyDescent="0.3">
      <c r="B232" s="1142" t="s">
        <v>1189</v>
      </c>
      <c r="C232" s="1142"/>
      <c r="D232" s="551" t="s">
        <v>51</v>
      </c>
      <c r="E232" s="551" t="s">
        <v>51</v>
      </c>
      <c r="F232" s="551" t="s">
        <v>51</v>
      </c>
      <c r="G232" s="572" t="s">
        <v>51</v>
      </c>
      <c r="H232" s="573" t="s">
        <v>428</v>
      </c>
      <c r="I232" s="551" t="s">
        <v>428</v>
      </c>
      <c r="J232" s="551" t="s">
        <v>51</v>
      </c>
      <c r="K232" s="572" t="s">
        <v>428</v>
      </c>
      <c r="L232" s="573" t="s">
        <v>51</v>
      </c>
      <c r="M232" s="551" t="s">
        <v>51</v>
      </c>
      <c r="N232" s="551" t="s">
        <v>51</v>
      </c>
      <c r="O232" s="551" t="s">
        <v>51</v>
      </c>
    </row>
    <row r="233" spans="1:15" ht="48.75" customHeight="1" thickBot="1" x14ac:dyDescent="0.3">
      <c r="B233" s="1141" t="s">
        <v>1190</v>
      </c>
      <c r="C233" s="1141"/>
      <c r="D233" s="551" t="s">
        <v>51</v>
      </c>
      <c r="E233" s="551" t="s">
        <v>51</v>
      </c>
      <c r="F233" s="551" t="s">
        <v>51</v>
      </c>
      <c r="G233" s="572" t="s">
        <v>51</v>
      </c>
      <c r="H233" s="573" t="s">
        <v>986</v>
      </c>
      <c r="I233" s="551" t="s">
        <v>428</v>
      </c>
      <c r="J233" s="551" t="s">
        <v>51</v>
      </c>
      <c r="K233" s="572" t="s">
        <v>1273</v>
      </c>
      <c r="L233" s="573" t="s">
        <v>51</v>
      </c>
      <c r="M233" s="551" t="s">
        <v>51</v>
      </c>
      <c r="N233" s="551" t="s">
        <v>51</v>
      </c>
      <c r="O233" s="551" t="s">
        <v>51</v>
      </c>
    </row>
    <row r="234" spans="1:15" ht="48.75" customHeight="1" thickBot="1" x14ac:dyDescent="0.3">
      <c r="B234" s="1144" t="s">
        <v>1191</v>
      </c>
      <c r="C234" s="1144"/>
      <c r="D234" s="584" t="s">
        <v>51</v>
      </c>
      <c r="E234" s="584" t="s">
        <v>51</v>
      </c>
      <c r="F234" s="584" t="s">
        <v>51</v>
      </c>
      <c r="G234" s="585" t="s">
        <v>51</v>
      </c>
      <c r="H234" s="586" t="s">
        <v>1022</v>
      </c>
      <c r="I234" s="584" t="s">
        <v>1192</v>
      </c>
      <c r="J234" s="584" t="s">
        <v>51</v>
      </c>
      <c r="K234" s="585" t="s">
        <v>1288</v>
      </c>
      <c r="L234" s="586" t="s">
        <v>51</v>
      </c>
      <c r="M234" s="584" t="s">
        <v>51</v>
      </c>
      <c r="N234" s="584" t="s">
        <v>51</v>
      </c>
      <c r="O234" s="584" t="s">
        <v>51</v>
      </c>
    </row>
    <row r="235" spans="1:15" x14ac:dyDescent="0.25">
      <c r="B235" s="1027" t="s">
        <v>1922</v>
      </c>
      <c r="C235" s="1027"/>
      <c r="E235" s="205"/>
    </row>
    <row r="236" spans="1:15" x14ac:dyDescent="0.25">
      <c r="B236" s="44" t="s">
        <v>429</v>
      </c>
      <c r="C236" s="44"/>
    </row>
    <row r="237" spans="1:15" ht="15.75" customHeight="1" x14ac:dyDescent="0.25">
      <c r="B237" s="53"/>
    </row>
    <row r="238" spans="1:15" ht="21.75" customHeight="1" x14ac:dyDescent="0.25">
      <c r="B238" s="40"/>
      <c r="C238" s="40"/>
      <c r="D238" s="40"/>
    </row>
    <row r="239" spans="1:15" x14ac:dyDescent="0.25">
      <c r="B239" s="661" t="s">
        <v>1030</v>
      </c>
      <c r="C239" s="661"/>
      <c r="D239" s="661"/>
      <c r="E239" s="661"/>
      <c r="F239" s="661"/>
      <c r="G239" s="661"/>
      <c r="H239" s="661"/>
      <c r="I239" s="518"/>
      <c r="J239" s="518"/>
      <c r="K239" s="518"/>
    </row>
    <row r="240" spans="1:15" x14ac:dyDescent="0.25">
      <c r="A240" s="203"/>
      <c r="B240" s="1192" t="s">
        <v>2</v>
      </c>
      <c r="C240" s="1192"/>
      <c r="D240" s="470" t="s">
        <v>424</v>
      </c>
      <c r="E240" s="470" t="s">
        <v>304</v>
      </c>
      <c r="F240" s="470" t="s">
        <v>422</v>
      </c>
      <c r="L240" s="814"/>
      <c r="M240" s="814"/>
      <c r="N240" s="814"/>
      <c r="O240" s="814"/>
    </row>
    <row r="241" spans="1:16" ht="15" customHeight="1" thickBot="1" x14ac:dyDescent="0.3">
      <c r="A241" s="203"/>
      <c r="B241" s="1193" t="s">
        <v>7</v>
      </c>
      <c r="C241" s="1193"/>
      <c r="D241" s="239">
        <v>155</v>
      </c>
      <c r="E241" s="239">
        <f>H248</f>
        <v>16</v>
      </c>
      <c r="F241" s="235">
        <f>E241/D241</f>
        <v>0.1032258064516129</v>
      </c>
      <c r="H241" s="561"/>
      <c r="I241" s="561"/>
      <c r="J241" s="571"/>
      <c r="N241" s="814"/>
      <c r="O241" s="814"/>
    </row>
    <row r="242" spans="1:16" ht="15" customHeight="1" thickBot="1" x14ac:dyDescent="0.3">
      <c r="A242" s="203"/>
      <c r="B242" s="1132" t="s">
        <v>8</v>
      </c>
      <c r="C242" s="1132"/>
      <c r="D242" s="275">
        <v>263</v>
      </c>
      <c r="E242" s="275">
        <f>L248</f>
        <v>23</v>
      </c>
      <c r="F242" s="235">
        <f>E242/D242</f>
        <v>8.7452471482889732E-2</v>
      </c>
      <c r="H242" s="561"/>
      <c r="I242" s="561"/>
      <c r="J242" s="571"/>
      <c r="N242" s="13"/>
      <c r="O242" s="13"/>
    </row>
    <row r="243" spans="1:16" ht="15" customHeight="1" thickBot="1" x14ac:dyDescent="0.3">
      <c r="A243" s="203"/>
      <c r="B243" s="1133" t="s">
        <v>995</v>
      </c>
      <c r="C243" s="1133"/>
      <c r="D243" s="258">
        <v>17</v>
      </c>
      <c r="E243" s="258">
        <f>P248</f>
        <v>2</v>
      </c>
      <c r="F243" s="236">
        <f>E243/D243</f>
        <v>0.11764705882352941</v>
      </c>
      <c r="H243" s="561"/>
      <c r="I243" s="561"/>
      <c r="J243" s="571"/>
      <c r="N243" s="814"/>
      <c r="O243" s="814"/>
    </row>
    <row r="244" spans="1:16" x14ac:dyDescent="0.25">
      <c r="B244" s="37"/>
      <c r="D244" s="495"/>
    </row>
    <row r="245" spans="1:16" ht="15" customHeight="1" x14ac:dyDescent="0.25">
      <c r="B245" s="225"/>
      <c r="E245" s="1152" t="s">
        <v>423</v>
      </c>
      <c r="F245" s="1152"/>
      <c r="G245" s="1152"/>
      <c r="H245" s="1152"/>
      <c r="I245" s="1152"/>
      <c r="J245" s="1152"/>
      <c r="K245" s="1152"/>
      <c r="L245" s="1152"/>
      <c r="M245" s="1152"/>
      <c r="N245" s="1152"/>
      <c r="O245" s="1152"/>
      <c r="P245" s="1152"/>
    </row>
    <row r="246" spans="1:16" ht="21.75" customHeight="1" x14ac:dyDescent="0.25">
      <c r="B246" s="1153" t="s">
        <v>996</v>
      </c>
      <c r="C246" s="1153"/>
      <c r="D246" s="1153"/>
      <c r="E246" s="781" t="s">
        <v>7</v>
      </c>
      <c r="F246" s="781"/>
      <c r="G246" s="781"/>
      <c r="H246" s="781"/>
      <c r="I246" s="781" t="s">
        <v>8</v>
      </c>
      <c r="J246" s="781"/>
      <c r="K246" s="781"/>
      <c r="L246" s="781"/>
      <c r="M246" s="781" t="s">
        <v>993</v>
      </c>
      <c r="N246" s="781"/>
      <c r="O246" s="781"/>
      <c r="P246" s="781"/>
    </row>
    <row r="247" spans="1:16" ht="33" customHeight="1" x14ac:dyDescent="0.25">
      <c r="B247" s="1153"/>
      <c r="C247" s="1153"/>
      <c r="D247" s="1153"/>
      <c r="E247" s="200" t="s">
        <v>826</v>
      </c>
      <c r="F247" s="200" t="s">
        <v>827</v>
      </c>
      <c r="G247" s="200" t="s">
        <v>970</v>
      </c>
      <c r="H247" s="200" t="s">
        <v>985</v>
      </c>
      <c r="I247" s="468" t="s">
        <v>826</v>
      </c>
      <c r="J247" s="200" t="s">
        <v>827</v>
      </c>
      <c r="K247" s="200" t="s">
        <v>970</v>
      </c>
      <c r="L247" s="200" t="s">
        <v>985</v>
      </c>
      <c r="M247" s="468" t="s">
        <v>826</v>
      </c>
      <c r="N247" s="200" t="s">
        <v>827</v>
      </c>
      <c r="O247" s="200" t="s">
        <v>970</v>
      </c>
      <c r="P247" s="200" t="s">
        <v>985</v>
      </c>
    </row>
    <row r="248" spans="1:16" ht="18.75" customHeight="1" x14ac:dyDescent="0.25">
      <c r="B248" s="1154" t="s">
        <v>422</v>
      </c>
      <c r="C248" s="1154"/>
      <c r="D248" s="1154"/>
      <c r="E248" s="471">
        <v>3</v>
      </c>
      <c r="F248" s="471">
        <v>13</v>
      </c>
      <c r="G248" s="471">
        <v>0</v>
      </c>
      <c r="H248" s="471">
        <v>16</v>
      </c>
      <c r="I248" s="411">
        <v>12</v>
      </c>
      <c r="J248" s="471">
        <v>11</v>
      </c>
      <c r="K248" s="471">
        <v>0</v>
      </c>
      <c r="L248" s="471">
        <v>23</v>
      </c>
      <c r="M248" s="411">
        <v>0</v>
      </c>
      <c r="N248" s="471">
        <v>2</v>
      </c>
      <c r="O248" s="471">
        <v>0</v>
      </c>
      <c r="P248" s="471">
        <v>2</v>
      </c>
    </row>
    <row r="249" spans="1:16" ht="74.25" customHeight="1" thickBot="1" x14ac:dyDescent="0.3">
      <c r="B249" s="1155" t="s">
        <v>1042</v>
      </c>
      <c r="C249" s="1155"/>
      <c r="D249" s="1155"/>
      <c r="E249" s="520" t="s">
        <v>1078</v>
      </c>
      <c r="F249" s="520" t="s">
        <v>1293</v>
      </c>
      <c r="G249" s="520" t="s">
        <v>51</v>
      </c>
      <c r="H249" s="602" t="s">
        <v>1313</v>
      </c>
      <c r="I249" s="706" t="s">
        <v>1333</v>
      </c>
      <c r="J249" s="520" t="s">
        <v>1350</v>
      </c>
      <c r="K249" s="520" t="s">
        <v>51</v>
      </c>
      <c r="L249" s="602" t="s">
        <v>1366</v>
      </c>
      <c r="M249" s="706" t="s">
        <v>51</v>
      </c>
      <c r="N249" s="520" t="s">
        <v>1078</v>
      </c>
      <c r="O249" s="520" t="s">
        <v>51</v>
      </c>
      <c r="P249" s="602" t="s">
        <v>1078</v>
      </c>
    </row>
    <row r="250" spans="1:16" ht="34.5" customHeight="1" thickBot="1" x14ac:dyDescent="0.3">
      <c r="B250" s="1157" t="s">
        <v>1032</v>
      </c>
      <c r="C250" s="1157"/>
      <c r="D250" s="1157"/>
      <c r="E250" s="687" t="s">
        <v>428</v>
      </c>
      <c r="F250" s="687" t="s">
        <v>1294</v>
      </c>
      <c r="G250" s="687" t="s">
        <v>51</v>
      </c>
      <c r="H250" s="717" t="s">
        <v>1314</v>
      </c>
      <c r="I250" s="718" t="s">
        <v>1334</v>
      </c>
      <c r="J250" s="687" t="s">
        <v>1351</v>
      </c>
      <c r="K250" s="687" t="s">
        <v>51</v>
      </c>
      <c r="L250" s="717" t="s">
        <v>1367</v>
      </c>
      <c r="M250" s="718" t="s">
        <v>51</v>
      </c>
      <c r="N250" s="687" t="s">
        <v>428</v>
      </c>
      <c r="O250" s="687" t="s">
        <v>51</v>
      </c>
      <c r="P250" s="717" t="s">
        <v>428</v>
      </c>
    </row>
    <row r="251" spans="1:16" ht="54.75" customHeight="1" thickBot="1" x14ac:dyDescent="0.3">
      <c r="A251" s="427"/>
      <c r="B251" s="1149" t="s">
        <v>1043</v>
      </c>
      <c r="C251" s="1146" t="s">
        <v>1033</v>
      </c>
      <c r="D251" s="1146"/>
      <c r="E251" s="719" t="s">
        <v>986</v>
      </c>
      <c r="F251" s="719" t="s">
        <v>1295</v>
      </c>
      <c r="G251" s="719" t="s">
        <v>51</v>
      </c>
      <c r="H251" s="720" t="s">
        <v>1315</v>
      </c>
      <c r="I251" s="721" t="s">
        <v>1335</v>
      </c>
      <c r="J251" s="719" t="s">
        <v>1352</v>
      </c>
      <c r="K251" s="719" t="s">
        <v>51</v>
      </c>
      <c r="L251" s="720" t="s">
        <v>1368</v>
      </c>
      <c r="M251" s="721" t="s">
        <v>51</v>
      </c>
      <c r="N251" s="719" t="s">
        <v>986</v>
      </c>
      <c r="O251" s="719" t="s">
        <v>51</v>
      </c>
      <c r="P251" s="720" t="s">
        <v>986</v>
      </c>
    </row>
    <row r="252" spans="1:16" ht="44.25" customHeight="1" thickBot="1" x14ac:dyDescent="0.3">
      <c r="B252" s="1150"/>
      <c r="C252" s="1145" t="s">
        <v>1034</v>
      </c>
      <c r="D252" s="1145"/>
      <c r="E252" s="520" t="s">
        <v>428</v>
      </c>
      <c r="F252" s="520" t="s">
        <v>1294</v>
      </c>
      <c r="G252" s="520" t="s">
        <v>51</v>
      </c>
      <c r="H252" s="602" t="s">
        <v>1314</v>
      </c>
      <c r="I252" s="706" t="s">
        <v>1008</v>
      </c>
      <c r="J252" s="520" t="s">
        <v>1353</v>
      </c>
      <c r="K252" s="520" t="s">
        <v>51</v>
      </c>
      <c r="L252" s="602" t="s">
        <v>1369</v>
      </c>
      <c r="M252" s="706" t="s">
        <v>51</v>
      </c>
      <c r="N252" s="520" t="s">
        <v>1008</v>
      </c>
      <c r="O252" s="520" t="s">
        <v>51</v>
      </c>
      <c r="P252" s="602" t="s">
        <v>1008</v>
      </c>
    </row>
    <row r="253" spans="1:16" ht="37.5" hidden="1" customHeight="1" thickBot="1" x14ac:dyDescent="0.3">
      <c r="A253" s="427"/>
      <c r="B253" s="1150"/>
      <c r="C253" s="1156" t="s">
        <v>1038</v>
      </c>
      <c r="D253" s="1156"/>
      <c r="E253" s="520"/>
      <c r="F253" s="520"/>
      <c r="G253" s="520" t="s">
        <v>51</v>
      </c>
      <c r="H253" s="602"/>
      <c r="I253" s="706"/>
      <c r="J253" s="520"/>
      <c r="K253" s="520" t="s">
        <v>51</v>
      </c>
      <c r="L253" s="602"/>
      <c r="M253" s="706" t="s">
        <v>51</v>
      </c>
      <c r="N253" s="520"/>
      <c r="O253" s="520" t="s">
        <v>51</v>
      </c>
      <c r="P253" s="602"/>
    </row>
    <row r="254" spans="1:16" ht="37.5" customHeight="1" thickBot="1" x14ac:dyDescent="0.3">
      <c r="B254" s="1150"/>
      <c r="C254" s="1145" t="s">
        <v>1035</v>
      </c>
      <c r="D254" s="1145"/>
      <c r="E254" s="520" t="s">
        <v>986</v>
      </c>
      <c r="F254" s="520" t="s">
        <v>1295</v>
      </c>
      <c r="G254" s="520" t="s">
        <v>51</v>
      </c>
      <c r="H254" s="602" t="s">
        <v>1315</v>
      </c>
      <c r="I254" s="706" t="s">
        <v>1335</v>
      </c>
      <c r="J254" s="520" t="s">
        <v>1352</v>
      </c>
      <c r="K254" s="520" t="s">
        <v>51</v>
      </c>
      <c r="L254" s="602" t="s">
        <v>1368</v>
      </c>
      <c r="M254" s="706" t="s">
        <v>51</v>
      </c>
      <c r="N254" s="520" t="s">
        <v>986</v>
      </c>
      <c r="O254" s="520" t="s">
        <v>51</v>
      </c>
      <c r="P254" s="602" t="s">
        <v>986</v>
      </c>
    </row>
    <row r="255" spans="1:16" ht="38.25" customHeight="1" thickBot="1" x14ac:dyDescent="0.3">
      <c r="B255" s="1150"/>
      <c r="C255" s="1145" t="s">
        <v>1036</v>
      </c>
      <c r="D255" s="1145"/>
      <c r="E255" s="520" t="s">
        <v>428</v>
      </c>
      <c r="F255" s="520" t="s">
        <v>1296</v>
      </c>
      <c r="G255" s="520" t="s">
        <v>51</v>
      </c>
      <c r="H255" s="602" t="s">
        <v>1011</v>
      </c>
      <c r="I255" s="706" t="s">
        <v>1336</v>
      </c>
      <c r="J255" s="520" t="s">
        <v>1354</v>
      </c>
      <c r="K255" s="520" t="s">
        <v>51</v>
      </c>
      <c r="L255" s="602" t="s">
        <v>1370</v>
      </c>
      <c r="M255" s="706" t="s">
        <v>51</v>
      </c>
      <c r="N255" s="520" t="s">
        <v>986</v>
      </c>
      <c r="O255" s="520" t="s">
        <v>51</v>
      </c>
      <c r="P255" s="602" t="s">
        <v>986</v>
      </c>
    </row>
    <row r="256" spans="1:16" ht="51.75" customHeight="1" thickBot="1" x14ac:dyDescent="0.3">
      <c r="B256" s="1151"/>
      <c r="C256" s="1144" t="s">
        <v>1037</v>
      </c>
      <c r="D256" s="1144"/>
      <c r="E256" s="722" t="s">
        <v>428</v>
      </c>
      <c r="F256" s="722" t="s">
        <v>1297</v>
      </c>
      <c r="G256" s="722" t="s">
        <v>51</v>
      </c>
      <c r="H256" s="723" t="s">
        <v>1316</v>
      </c>
      <c r="I256" s="724" t="s">
        <v>1336</v>
      </c>
      <c r="J256" s="722" t="s">
        <v>1355</v>
      </c>
      <c r="K256" s="722" t="s">
        <v>51</v>
      </c>
      <c r="L256" s="723" t="s">
        <v>1371</v>
      </c>
      <c r="M256" s="724" t="s">
        <v>51</v>
      </c>
      <c r="N256" s="520" t="s">
        <v>986</v>
      </c>
      <c r="O256" s="722" t="s">
        <v>51</v>
      </c>
      <c r="P256" s="723" t="s">
        <v>986</v>
      </c>
    </row>
    <row r="257" spans="2:16" ht="32.25" customHeight="1" thickBot="1" x14ac:dyDescent="0.3">
      <c r="B257" s="1149" t="s">
        <v>1044</v>
      </c>
      <c r="C257" s="1146" t="s">
        <v>1054</v>
      </c>
      <c r="D257" s="1146"/>
      <c r="E257" s="719" t="s">
        <v>1196</v>
      </c>
      <c r="F257" s="719" t="s">
        <v>1298</v>
      </c>
      <c r="G257" s="719" t="s">
        <v>51</v>
      </c>
      <c r="H257" s="720" t="s">
        <v>1317</v>
      </c>
      <c r="I257" s="721" t="s">
        <v>1337</v>
      </c>
      <c r="J257" s="719" t="s">
        <v>1356</v>
      </c>
      <c r="K257" s="719" t="s">
        <v>51</v>
      </c>
      <c r="L257" s="720" t="s">
        <v>1372</v>
      </c>
      <c r="M257" s="721" t="s">
        <v>51</v>
      </c>
      <c r="N257" s="719" t="s">
        <v>1198</v>
      </c>
      <c r="O257" s="719" t="s">
        <v>51</v>
      </c>
      <c r="P257" s="720" t="s">
        <v>1198</v>
      </c>
    </row>
    <row r="258" spans="2:16" ht="25.5" customHeight="1" thickBot="1" x14ac:dyDescent="0.3">
      <c r="B258" s="1150"/>
      <c r="C258" s="1145" t="s">
        <v>1055</v>
      </c>
      <c r="D258" s="1145"/>
      <c r="E258" s="520" t="s">
        <v>1289</v>
      </c>
      <c r="F258" s="520" t="s">
        <v>1299</v>
      </c>
      <c r="G258" s="520" t="s">
        <v>51</v>
      </c>
      <c r="H258" s="602" t="s">
        <v>1318</v>
      </c>
      <c r="I258" s="706" t="s">
        <v>1198</v>
      </c>
      <c r="J258" s="520" t="s">
        <v>1357</v>
      </c>
      <c r="K258" s="520" t="s">
        <v>51</v>
      </c>
      <c r="L258" s="602" t="s">
        <v>1373</v>
      </c>
      <c r="M258" s="706" t="s">
        <v>51</v>
      </c>
      <c r="N258" s="520" t="s">
        <v>1332</v>
      </c>
      <c r="O258" s="520" t="s">
        <v>51</v>
      </c>
      <c r="P258" s="602" t="s">
        <v>1332</v>
      </c>
    </row>
    <row r="259" spans="2:16" ht="24" customHeight="1" thickBot="1" x14ac:dyDescent="0.3">
      <c r="B259" s="1150"/>
      <c r="C259" s="1145" t="s">
        <v>1056</v>
      </c>
      <c r="D259" s="1145"/>
      <c r="E259" s="520" t="s">
        <v>1290</v>
      </c>
      <c r="F259" s="520" t="s">
        <v>1298</v>
      </c>
      <c r="G259" s="520" t="s">
        <v>51</v>
      </c>
      <c r="H259" s="602" t="s">
        <v>1197</v>
      </c>
      <c r="I259" s="706" t="s">
        <v>1198</v>
      </c>
      <c r="J259" s="520" t="s">
        <v>1356</v>
      </c>
      <c r="K259" s="520" t="s">
        <v>51</v>
      </c>
      <c r="L259" s="602" t="s">
        <v>1374</v>
      </c>
      <c r="M259" s="706" t="s">
        <v>51</v>
      </c>
      <c r="N259" s="520" t="s">
        <v>1198</v>
      </c>
      <c r="O259" s="520" t="s">
        <v>51</v>
      </c>
      <c r="P259" s="602" t="s">
        <v>1198</v>
      </c>
    </row>
    <row r="260" spans="2:16" ht="28.5" customHeight="1" thickBot="1" x14ac:dyDescent="0.3">
      <c r="B260" s="1150"/>
      <c r="C260" s="1145" t="s">
        <v>1057</v>
      </c>
      <c r="D260" s="1145"/>
      <c r="E260" s="520" t="s">
        <v>1289</v>
      </c>
      <c r="F260" s="520" t="s">
        <v>1300</v>
      </c>
      <c r="G260" s="520" t="s">
        <v>51</v>
      </c>
      <c r="H260" s="602" t="s">
        <v>1317</v>
      </c>
      <c r="I260" s="706" t="s">
        <v>1338</v>
      </c>
      <c r="J260" s="520" t="s">
        <v>1356</v>
      </c>
      <c r="K260" s="520" t="s">
        <v>51</v>
      </c>
      <c r="L260" s="602" t="s">
        <v>1372</v>
      </c>
      <c r="M260" s="706" t="s">
        <v>51</v>
      </c>
      <c r="N260" s="520" t="s">
        <v>1332</v>
      </c>
      <c r="O260" s="520" t="s">
        <v>51</v>
      </c>
      <c r="P260" s="602" t="s">
        <v>1332</v>
      </c>
    </row>
    <row r="261" spans="2:16" ht="32.25" customHeight="1" thickBot="1" x14ac:dyDescent="0.3">
      <c r="B261" s="1151"/>
      <c r="C261" s="1144" t="s">
        <v>1058</v>
      </c>
      <c r="D261" s="1144"/>
      <c r="E261" s="722" t="s">
        <v>1196</v>
      </c>
      <c r="F261" s="722" t="s">
        <v>1300</v>
      </c>
      <c r="G261" s="722" t="s">
        <v>51</v>
      </c>
      <c r="H261" s="723" t="s">
        <v>1319</v>
      </c>
      <c r="I261" s="724" t="s">
        <v>1339</v>
      </c>
      <c r="J261" s="722" t="s">
        <v>1357</v>
      </c>
      <c r="K261" s="722" t="s">
        <v>51</v>
      </c>
      <c r="L261" s="723" t="s">
        <v>1372</v>
      </c>
      <c r="M261" s="724" t="s">
        <v>51</v>
      </c>
      <c r="N261" s="722" t="s">
        <v>1198</v>
      </c>
      <c r="O261" s="722" t="s">
        <v>51</v>
      </c>
      <c r="P261" s="723" t="s">
        <v>1198</v>
      </c>
    </row>
    <row r="262" spans="2:16" ht="28.5" customHeight="1" thickBot="1" x14ac:dyDescent="0.3">
      <c r="B262" s="1149" t="s">
        <v>1045</v>
      </c>
      <c r="C262" s="1146" t="s">
        <v>1059</v>
      </c>
      <c r="D262" s="1146"/>
      <c r="E262" s="719" t="s">
        <v>1291</v>
      </c>
      <c r="F262" s="719" t="s">
        <v>1301</v>
      </c>
      <c r="G262" s="719" t="s">
        <v>51</v>
      </c>
      <c r="H262" s="720" t="s">
        <v>1320</v>
      </c>
      <c r="I262" s="721" t="s">
        <v>1340</v>
      </c>
      <c r="J262" s="719" t="s">
        <v>1358</v>
      </c>
      <c r="K262" s="719" t="s">
        <v>51</v>
      </c>
      <c r="L262" s="720" t="s">
        <v>1375</v>
      </c>
      <c r="M262" s="721" t="s">
        <v>51</v>
      </c>
      <c r="N262" s="719" t="s">
        <v>1197</v>
      </c>
      <c r="O262" s="719" t="s">
        <v>51</v>
      </c>
      <c r="P262" s="720" t="s">
        <v>1197</v>
      </c>
    </row>
    <row r="263" spans="2:16" ht="26.25" customHeight="1" thickBot="1" x14ac:dyDescent="0.3">
      <c r="B263" s="1150"/>
      <c r="C263" s="1145" t="s">
        <v>1060</v>
      </c>
      <c r="D263" s="1145"/>
      <c r="E263" s="520" t="s">
        <v>1291</v>
      </c>
      <c r="F263" s="520" t="s">
        <v>1302</v>
      </c>
      <c r="G263" s="520" t="s">
        <v>51</v>
      </c>
      <c r="H263" s="602" t="s">
        <v>1321</v>
      </c>
      <c r="I263" s="706" t="s">
        <v>1341</v>
      </c>
      <c r="J263" s="520" t="s">
        <v>1359</v>
      </c>
      <c r="K263" s="520" t="s">
        <v>51</v>
      </c>
      <c r="L263" s="602" t="s">
        <v>1376</v>
      </c>
      <c r="M263" s="706" t="s">
        <v>51</v>
      </c>
      <c r="N263" s="520" t="s">
        <v>1197</v>
      </c>
      <c r="O263" s="520" t="s">
        <v>51</v>
      </c>
      <c r="P263" s="602" t="s">
        <v>1197</v>
      </c>
    </row>
    <row r="264" spans="2:16" ht="27" customHeight="1" thickBot="1" x14ac:dyDescent="0.3">
      <c r="B264" s="1150"/>
      <c r="C264" s="1145" t="s">
        <v>1061</v>
      </c>
      <c r="D264" s="1145"/>
      <c r="E264" s="520" t="s">
        <v>1291</v>
      </c>
      <c r="F264" s="520" t="s">
        <v>1303</v>
      </c>
      <c r="G264" s="520" t="s">
        <v>51</v>
      </c>
      <c r="H264" s="602" t="s">
        <v>1322</v>
      </c>
      <c r="I264" s="706" t="s">
        <v>1342</v>
      </c>
      <c r="J264" s="520" t="s">
        <v>1360</v>
      </c>
      <c r="K264" s="520" t="s">
        <v>51</v>
      </c>
      <c r="L264" s="602" t="s">
        <v>1377</v>
      </c>
      <c r="M264" s="706" t="s">
        <v>51</v>
      </c>
      <c r="N264" s="520" t="s">
        <v>1079</v>
      </c>
      <c r="O264" s="520" t="s">
        <v>51</v>
      </c>
      <c r="P264" s="602" t="s">
        <v>1079</v>
      </c>
    </row>
    <row r="265" spans="2:16" ht="27" customHeight="1" thickBot="1" x14ac:dyDescent="0.3">
      <c r="B265" s="1150"/>
      <c r="C265" s="1145" t="s">
        <v>1062</v>
      </c>
      <c r="D265" s="1145"/>
      <c r="E265" s="520" t="s">
        <v>1291</v>
      </c>
      <c r="F265" s="520" t="s">
        <v>1303</v>
      </c>
      <c r="G265" s="520" t="s">
        <v>51</v>
      </c>
      <c r="H265" s="602" t="s">
        <v>1323</v>
      </c>
      <c r="I265" s="706" t="s">
        <v>1343</v>
      </c>
      <c r="J265" s="520" t="s">
        <v>1358</v>
      </c>
      <c r="K265" s="520" t="s">
        <v>51</v>
      </c>
      <c r="L265" s="602" t="s">
        <v>1378</v>
      </c>
      <c r="M265" s="706" t="s">
        <v>51</v>
      </c>
      <c r="N265" s="520" t="s">
        <v>1079</v>
      </c>
      <c r="O265" s="520" t="s">
        <v>51</v>
      </c>
      <c r="P265" s="602" t="s">
        <v>1079</v>
      </c>
    </row>
    <row r="266" spans="2:16" ht="27" customHeight="1" thickBot="1" x14ac:dyDescent="0.3">
      <c r="B266" s="1151"/>
      <c r="C266" s="1144" t="s">
        <v>1063</v>
      </c>
      <c r="D266" s="1144"/>
      <c r="E266" s="722" t="s">
        <v>1292</v>
      </c>
      <c r="F266" s="722" t="s">
        <v>1298</v>
      </c>
      <c r="G266" s="722" t="s">
        <v>51</v>
      </c>
      <c r="H266" s="723" t="s">
        <v>1197</v>
      </c>
      <c r="I266" s="724" t="s">
        <v>1344</v>
      </c>
      <c r="J266" s="722" t="s">
        <v>1358</v>
      </c>
      <c r="K266" s="722" t="s">
        <v>51</v>
      </c>
      <c r="L266" s="723" t="s">
        <v>1377</v>
      </c>
      <c r="M266" s="724" t="s">
        <v>51</v>
      </c>
      <c r="N266" s="722" t="s">
        <v>1197</v>
      </c>
      <c r="O266" s="722" t="s">
        <v>51</v>
      </c>
      <c r="P266" s="723" t="s">
        <v>1197</v>
      </c>
    </row>
    <row r="267" spans="2:16" ht="28.5" customHeight="1" thickBot="1" x14ac:dyDescent="0.3">
      <c r="B267" s="1149" t="s">
        <v>1046</v>
      </c>
      <c r="C267" s="1146" t="s">
        <v>1062</v>
      </c>
      <c r="D267" s="1146"/>
      <c r="E267" s="719" t="s">
        <v>1291</v>
      </c>
      <c r="F267" s="719" t="s">
        <v>1304</v>
      </c>
      <c r="G267" s="719" t="s">
        <v>51</v>
      </c>
      <c r="H267" s="720" t="s">
        <v>1324</v>
      </c>
      <c r="I267" s="721" t="s">
        <v>1199</v>
      </c>
      <c r="J267" s="719" t="s">
        <v>1360</v>
      </c>
      <c r="K267" s="719" t="s">
        <v>51</v>
      </c>
      <c r="L267" s="720" t="s">
        <v>1379</v>
      </c>
      <c r="M267" s="721" t="s">
        <v>51</v>
      </c>
      <c r="N267" s="719" t="s">
        <v>1323</v>
      </c>
      <c r="O267" s="719" t="s">
        <v>51</v>
      </c>
      <c r="P267" s="720" t="s">
        <v>1323</v>
      </c>
    </row>
    <row r="268" spans="2:16" ht="26.25" customHeight="1" thickBot="1" x14ac:dyDescent="0.3">
      <c r="B268" s="1150"/>
      <c r="C268" s="1145" t="s">
        <v>1064</v>
      </c>
      <c r="D268" s="1145"/>
      <c r="E268" s="520" t="s">
        <v>1289</v>
      </c>
      <c r="F268" s="520" t="s">
        <v>1298</v>
      </c>
      <c r="G268" s="520" t="s">
        <v>51</v>
      </c>
      <c r="H268" s="602" t="s">
        <v>1325</v>
      </c>
      <c r="I268" s="725" t="s">
        <v>1346</v>
      </c>
      <c r="J268" s="520" t="s">
        <v>1361</v>
      </c>
      <c r="K268" s="520" t="s">
        <v>51</v>
      </c>
      <c r="L268" s="602" t="s">
        <v>1379</v>
      </c>
      <c r="M268" s="706" t="s">
        <v>51</v>
      </c>
      <c r="N268" s="520" t="s">
        <v>1080</v>
      </c>
      <c r="O268" s="726" t="s">
        <v>51</v>
      </c>
      <c r="P268" s="602" t="s">
        <v>1080</v>
      </c>
    </row>
    <row r="269" spans="2:16" ht="30.75" customHeight="1" thickBot="1" x14ac:dyDescent="0.3">
      <c r="B269" s="1151"/>
      <c r="C269" s="1144" t="s">
        <v>1065</v>
      </c>
      <c r="D269" s="1144"/>
      <c r="E269" s="722" t="s">
        <v>1291</v>
      </c>
      <c r="F269" s="722" t="s">
        <v>1304</v>
      </c>
      <c r="G269" s="722" t="s">
        <v>51</v>
      </c>
      <c r="H269" s="723" t="s">
        <v>1324</v>
      </c>
      <c r="I269" s="724" t="s">
        <v>1345</v>
      </c>
      <c r="J269" s="722" t="s">
        <v>1362</v>
      </c>
      <c r="K269" s="722" t="s">
        <v>51</v>
      </c>
      <c r="L269" s="723" t="s">
        <v>1376</v>
      </c>
      <c r="M269" s="724" t="s">
        <v>51</v>
      </c>
      <c r="N269" s="722" t="s">
        <v>1080</v>
      </c>
      <c r="O269" s="722" t="s">
        <v>51</v>
      </c>
      <c r="P269" s="723" t="s">
        <v>1080</v>
      </c>
    </row>
    <row r="270" spans="2:16" ht="38.25" customHeight="1" thickBot="1" x14ac:dyDescent="0.3">
      <c r="B270" s="1149" t="s">
        <v>1047</v>
      </c>
      <c r="C270" s="1146" t="s">
        <v>1066</v>
      </c>
      <c r="D270" s="1146"/>
      <c r="E270" s="719" t="s">
        <v>1080</v>
      </c>
      <c r="F270" s="719" t="s">
        <v>1305</v>
      </c>
      <c r="G270" s="719" t="s">
        <v>51</v>
      </c>
      <c r="H270" s="720" t="s">
        <v>1326</v>
      </c>
      <c r="I270" s="721" t="s">
        <v>1199</v>
      </c>
      <c r="J270" s="719" t="s">
        <v>1340</v>
      </c>
      <c r="K270" s="719" t="s">
        <v>51</v>
      </c>
      <c r="L270" s="720" t="s">
        <v>1378</v>
      </c>
      <c r="M270" s="721" t="s">
        <v>51</v>
      </c>
      <c r="N270" s="719" t="s">
        <v>1323</v>
      </c>
      <c r="O270" s="719" t="s">
        <v>51</v>
      </c>
      <c r="P270" s="720" t="s">
        <v>1323</v>
      </c>
    </row>
    <row r="271" spans="2:16" ht="43.5" customHeight="1" thickBot="1" x14ac:dyDescent="0.3">
      <c r="B271" s="1150"/>
      <c r="C271" s="1145" t="s">
        <v>1067</v>
      </c>
      <c r="D271" s="1145"/>
      <c r="E271" s="520" t="s">
        <v>1291</v>
      </c>
      <c r="F271" s="520" t="s">
        <v>1306</v>
      </c>
      <c r="G271" s="520" t="s">
        <v>51</v>
      </c>
      <c r="H271" s="602" t="s">
        <v>1326</v>
      </c>
      <c r="I271" s="706" t="s">
        <v>1345</v>
      </c>
      <c r="J271" s="520" t="s">
        <v>1340</v>
      </c>
      <c r="K271" s="520" t="s">
        <v>51</v>
      </c>
      <c r="L271" s="602" t="s">
        <v>1380</v>
      </c>
      <c r="M271" s="706" t="s">
        <v>51</v>
      </c>
      <c r="N271" s="520" t="s">
        <v>1080</v>
      </c>
      <c r="O271" s="520" t="s">
        <v>51</v>
      </c>
      <c r="P271" s="602" t="s">
        <v>1080</v>
      </c>
    </row>
    <row r="272" spans="2:16" ht="31.5" customHeight="1" thickBot="1" x14ac:dyDescent="0.3">
      <c r="B272" s="1151"/>
      <c r="C272" s="1144" t="s">
        <v>1062</v>
      </c>
      <c r="D272" s="1144"/>
      <c r="E272" s="722" t="s">
        <v>1080</v>
      </c>
      <c r="F272" s="722" t="s">
        <v>1307</v>
      </c>
      <c r="G272" s="722" t="s">
        <v>51</v>
      </c>
      <c r="H272" s="723" t="s">
        <v>1327</v>
      </c>
      <c r="I272" s="724" t="s">
        <v>1199</v>
      </c>
      <c r="J272" s="722" t="s">
        <v>1358</v>
      </c>
      <c r="K272" s="722" t="s">
        <v>51</v>
      </c>
      <c r="L272" s="723" t="s">
        <v>1381</v>
      </c>
      <c r="M272" s="724" t="s">
        <v>51</v>
      </c>
      <c r="N272" s="722" t="s">
        <v>1323</v>
      </c>
      <c r="O272" s="722" t="s">
        <v>51</v>
      </c>
      <c r="P272" s="723" t="s">
        <v>1323</v>
      </c>
    </row>
    <row r="273" spans="1:16" ht="26.25" customHeight="1" thickBot="1" x14ac:dyDescent="0.3">
      <c r="B273" s="1149" t="s">
        <v>1048</v>
      </c>
      <c r="C273" s="1146" t="s">
        <v>1068</v>
      </c>
      <c r="D273" s="1146"/>
      <c r="E273" s="719" t="s">
        <v>1080</v>
      </c>
      <c r="F273" s="719" t="s">
        <v>1308</v>
      </c>
      <c r="G273" s="719" t="s">
        <v>51</v>
      </c>
      <c r="H273" s="720" t="s">
        <v>1322</v>
      </c>
      <c r="I273" s="721" t="s">
        <v>1344</v>
      </c>
      <c r="J273" s="719" t="s">
        <v>1360</v>
      </c>
      <c r="K273" s="719" t="s">
        <v>51</v>
      </c>
      <c r="L273" s="720" t="s">
        <v>1382</v>
      </c>
      <c r="M273" s="721" t="s">
        <v>51</v>
      </c>
      <c r="N273" s="719" t="s">
        <v>1080</v>
      </c>
      <c r="O273" s="719" t="s">
        <v>51</v>
      </c>
      <c r="P273" s="720" t="s">
        <v>1080</v>
      </c>
    </row>
    <row r="274" spans="1:16" ht="27.75" customHeight="1" thickBot="1" x14ac:dyDescent="0.3">
      <c r="B274" s="1151"/>
      <c r="C274" s="1144" t="s">
        <v>1069</v>
      </c>
      <c r="D274" s="1144"/>
      <c r="E274" s="722" t="s">
        <v>1289</v>
      </c>
      <c r="F274" s="722" t="s">
        <v>1299</v>
      </c>
      <c r="G274" s="722" t="s">
        <v>51</v>
      </c>
      <c r="H274" s="723" t="s">
        <v>1328</v>
      </c>
      <c r="I274" s="724" t="s">
        <v>1339</v>
      </c>
      <c r="J274" s="722" t="s">
        <v>1363</v>
      </c>
      <c r="K274" s="722" t="s">
        <v>51</v>
      </c>
      <c r="L274" s="723" t="s">
        <v>1383</v>
      </c>
      <c r="M274" s="724" t="s">
        <v>51</v>
      </c>
      <c r="N274" s="722" t="s">
        <v>1197</v>
      </c>
      <c r="O274" s="722" t="s">
        <v>51</v>
      </c>
      <c r="P274" s="723" t="s">
        <v>1197</v>
      </c>
    </row>
    <row r="275" spans="1:16" ht="32.25" customHeight="1" thickBot="1" x14ac:dyDescent="0.3">
      <c r="B275" s="428" t="s">
        <v>1049</v>
      </c>
      <c r="C275" s="1148" t="s">
        <v>1070</v>
      </c>
      <c r="D275" s="1148"/>
      <c r="E275" s="727" t="s">
        <v>1196</v>
      </c>
      <c r="F275" s="727" t="s">
        <v>1298</v>
      </c>
      <c r="G275" s="727" t="s">
        <v>51</v>
      </c>
      <c r="H275" s="728" t="s">
        <v>1317</v>
      </c>
      <c r="I275" s="729" t="s">
        <v>1346</v>
      </c>
      <c r="J275" s="727" t="s">
        <v>1358</v>
      </c>
      <c r="K275" s="727" t="s">
        <v>51</v>
      </c>
      <c r="L275" s="728" t="s">
        <v>1382</v>
      </c>
      <c r="M275" s="729" t="s">
        <v>51</v>
      </c>
      <c r="N275" s="727" t="s">
        <v>1323</v>
      </c>
      <c r="O275" s="727" t="s">
        <v>51</v>
      </c>
      <c r="P275" s="728" t="s">
        <v>1323</v>
      </c>
    </row>
    <row r="276" spans="1:16" ht="27" customHeight="1" thickBot="1" x14ac:dyDescent="0.3">
      <c r="B276" s="428" t="s">
        <v>1050</v>
      </c>
      <c r="C276" s="1148" t="s">
        <v>1071</v>
      </c>
      <c r="D276" s="1148"/>
      <c r="E276" s="727" t="s">
        <v>1079</v>
      </c>
      <c r="F276" s="722" t="s">
        <v>1298</v>
      </c>
      <c r="G276" s="722" t="s">
        <v>51</v>
      </c>
      <c r="H276" s="723" t="s">
        <v>1323</v>
      </c>
      <c r="I276" s="729" t="s">
        <v>1347</v>
      </c>
      <c r="J276" s="727" t="s">
        <v>1358</v>
      </c>
      <c r="K276" s="727" t="s">
        <v>51</v>
      </c>
      <c r="L276" s="728" t="s">
        <v>1384</v>
      </c>
      <c r="M276" s="729" t="s">
        <v>51</v>
      </c>
      <c r="N276" s="727" t="s">
        <v>1079</v>
      </c>
      <c r="O276" s="727" t="s">
        <v>51</v>
      </c>
      <c r="P276" s="728" t="s">
        <v>1079</v>
      </c>
    </row>
    <row r="277" spans="1:16" ht="28.5" customHeight="1" thickBot="1" x14ac:dyDescent="0.3">
      <c r="B277" s="1149" t="s">
        <v>1051</v>
      </c>
      <c r="C277" s="1146" t="s">
        <v>1059</v>
      </c>
      <c r="D277" s="1146"/>
      <c r="E277" s="719" t="s">
        <v>1289</v>
      </c>
      <c r="F277" s="719" t="s">
        <v>1309</v>
      </c>
      <c r="G277" s="719" t="s">
        <v>51</v>
      </c>
      <c r="H277" s="720" t="s">
        <v>1329</v>
      </c>
      <c r="I277" s="706" t="s">
        <v>1346</v>
      </c>
      <c r="J277" s="520" t="s">
        <v>1363</v>
      </c>
      <c r="K277" s="520" t="s">
        <v>51</v>
      </c>
      <c r="L277" s="602" t="s">
        <v>1385</v>
      </c>
      <c r="M277" s="721" t="s">
        <v>51</v>
      </c>
      <c r="N277" s="719" t="s">
        <v>1197</v>
      </c>
      <c r="O277" s="719" t="s">
        <v>51</v>
      </c>
      <c r="P277" s="720" t="s">
        <v>1197</v>
      </c>
    </row>
    <row r="278" spans="1:16" ht="30" customHeight="1" thickBot="1" x14ac:dyDescent="0.3">
      <c r="B278" s="1150"/>
      <c r="C278" s="1145" t="s">
        <v>1072</v>
      </c>
      <c r="D278" s="1145"/>
      <c r="E278" s="520" t="s">
        <v>1196</v>
      </c>
      <c r="F278" s="520" t="s">
        <v>1310</v>
      </c>
      <c r="G278" s="520" t="s">
        <v>51</v>
      </c>
      <c r="H278" s="602" t="s">
        <v>1329</v>
      </c>
      <c r="I278" s="706" t="s">
        <v>1197</v>
      </c>
      <c r="J278" s="520" t="s">
        <v>1364</v>
      </c>
      <c r="K278" s="520" t="s">
        <v>51</v>
      </c>
      <c r="L278" s="602" t="s">
        <v>1379</v>
      </c>
      <c r="M278" s="706" t="s">
        <v>51</v>
      </c>
      <c r="N278" s="520" t="s">
        <v>1196</v>
      </c>
      <c r="O278" s="726" t="s">
        <v>51</v>
      </c>
      <c r="P278" s="602" t="s">
        <v>1196</v>
      </c>
    </row>
    <row r="279" spans="1:16" ht="30.75" customHeight="1" thickBot="1" x14ac:dyDescent="0.3">
      <c r="B279" s="1150"/>
      <c r="C279" s="1145" t="s">
        <v>1073</v>
      </c>
      <c r="D279" s="1145"/>
      <c r="E279" s="520" t="s">
        <v>1289</v>
      </c>
      <c r="F279" s="520" t="s">
        <v>1300</v>
      </c>
      <c r="G279" s="520" t="s">
        <v>51</v>
      </c>
      <c r="H279" s="602" t="s">
        <v>1317</v>
      </c>
      <c r="I279" s="706" t="s">
        <v>1348</v>
      </c>
      <c r="J279" s="520" t="s">
        <v>1363</v>
      </c>
      <c r="K279" s="520" t="s">
        <v>51</v>
      </c>
      <c r="L279" s="602" t="s">
        <v>1386</v>
      </c>
      <c r="M279" s="706" t="s">
        <v>51</v>
      </c>
      <c r="N279" s="520" t="s">
        <v>1196</v>
      </c>
      <c r="O279" s="726" t="s">
        <v>51</v>
      </c>
      <c r="P279" s="602" t="s">
        <v>1196</v>
      </c>
    </row>
    <row r="280" spans="1:16" ht="29.25" customHeight="1" thickBot="1" x14ac:dyDescent="0.3">
      <c r="B280" s="1151"/>
      <c r="C280" s="1144" t="s">
        <v>1074</v>
      </c>
      <c r="D280" s="1144"/>
      <c r="E280" s="722" t="s">
        <v>1289</v>
      </c>
      <c r="F280" s="722" t="s">
        <v>1300</v>
      </c>
      <c r="G280" s="722" t="s">
        <v>51</v>
      </c>
      <c r="H280" s="723" t="s">
        <v>1317</v>
      </c>
      <c r="I280" s="706" t="s">
        <v>1348</v>
      </c>
      <c r="J280" s="520" t="s">
        <v>1363</v>
      </c>
      <c r="K280" s="520" t="s">
        <v>51</v>
      </c>
      <c r="L280" s="602" t="s">
        <v>1387</v>
      </c>
      <c r="M280" s="724" t="s">
        <v>51</v>
      </c>
      <c r="N280" s="722" t="s">
        <v>1196</v>
      </c>
      <c r="O280" s="722" t="s">
        <v>51</v>
      </c>
      <c r="P280" s="723" t="s">
        <v>1196</v>
      </c>
    </row>
    <row r="281" spans="1:16" ht="26.25" customHeight="1" thickBot="1" x14ac:dyDescent="0.3">
      <c r="B281" s="1149" t="s">
        <v>1052</v>
      </c>
      <c r="C281" s="1146" t="s">
        <v>1075</v>
      </c>
      <c r="D281" s="1146"/>
      <c r="E281" s="719" t="s">
        <v>1289</v>
      </c>
      <c r="F281" s="719" t="s">
        <v>1311</v>
      </c>
      <c r="G281" s="719" t="s">
        <v>51</v>
      </c>
      <c r="H281" s="720" t="s">
        <v>1330</v>
      </c>
      <c r="I281" s="721" t="s">
        <v>1348</v>
      </c>
      <c r="J281" s="719" t="s">
        <v>1365</v>
      </c>
      <c r="K281" s="719" t="s">
        <v>51</v>
      </c>
      <c r="L281" s="720" t="s">
        <v>1388</v>
      </c>
      <c r="M281" s="721" t="s">
        <v>51</v>
      </c>
      <c r="N281" s="719" t="s">
        <v>1079</v>
      </c>
      <c r="O281" s="719" t="s">
        <v>51</v>
      </c>
      <c r="P281" s="720" t="s">
        <v>1079</v>
      </c>
    </row>
    <row r="282" spans="1:16" ht="27.75" customHeight="1" thickBot="1" x14ac:dyDescent="0.3">
      <c r="B282" s="1151"/>
      <c r="C282" s="1144" t="s">
        <v>1076</v>
      </c>
      <c r="D282" s="1144"/>
      <c r="E282" s="722" t="s">
        <v>1289</v>
      </c>
      <c r="F282" s="722" t="s">
        <v>1311</v>
      </c>
      <c r="G282" s="722" t="s">
        <v>51</v>
      </c>
      <c r="H282" s="723" t="s">
        <v>1330</v>
      </c>
      <c r="I282" s="724" t="s">
        <v>1346</v>
      </c>
      <c r="J282" s="722" t="s">
        <v>1363</v>
      </c>
      <c r="K282" s="722" t="s">
        <v>51</v>
      </c>
      <c r="L282" s="723" t="s">
        <v>1385</v>
      </c>
      <c r="M282" s="724" t="s">
        <v>51</v>
      </c>
      <c r="N282" s="722" t="s">
        <v>1196</v>
      </c>
      <c r="O282" s="722" t="s">
        <v>51</v>
      </c>
      <c r="P282" s="723" t="s">
        <v>1196</v>
      </c>
    </row>
    <row r="283" spans="1:16" ht="30.75" hidden="1" customHeight="1" thickBot="1" x14ac:dyDescent="0.3">
      <c r="A283" s="427"/>
      <c r="B283" s="1149" t="s">
        <v>1053</v>
      </c>
      <c r="C283" s="1147" t="s">
        <v>1077</v>
      </c>
      <c r="D283" s="1147"/>
      <c r="E283" s="719"/>
      <c r="F283" s="719"/>
      <c r="G283" s="719" t="s">
        <v>51</v>
      </c>
      <c r="H283" s="720"/>
      <c r="I283" s="721"/>
      <c r="J283" s="719"/>
      <c r="K283" s="719" t="s">
        <v>51</v>
      </c>
      <c r="L283" s="720"/>
      <c r="M283" s="721" t="s">
        <v>51</v>
      </c>
      <c r="N283" s="719"/>
      <c r="O283" s="719" t="s">
        <v>51</v>
      </c>
      <c r="P283" s="720"/>
    </row>
    <row r="284" spans="1:16" ht="27.75" customHeight="1" thickBot="1" x14ac:dyDescent="0.3">
      <c r="B284" s="1150"/>
      <c r="C284" s="1145" t="s">
        <v>1039</v>
      </c>
      <c r="D284" s="1145"/>
      <c r="E284" s="520" t="s">
        <v>986</v>
      </c>
      <c r="F284" s="520" t="s">
        <v>986</v>
      </c>
      <c r="G284" s="520" t="s">
        <v>51</v>
      </c>
      <c r="H284" s="602" t="s">
        <v>986</v>
      </c>
      <c r="I284" s="706" t="s">
        <v>986</v>
      </c>
      <c r="J284" s="520" t="s">
        <v>986</v>
      </c>
      <c r="K284" s="520" t="s">
        <v>51</v>
      </c>
      <c r="L284" s="602" t="s">
        <v>986</v>
      </c>
      <c r="M284" s="706" t="s">
        <v>51</v>
      </c>
      <c r="N284" s="520" t="s">
        <v>986</v>
      </c>
      <c r="O284" s="520" t="s">
        <v>51</v>
      </c>
      <c r="P284" s="602" t="s">
        <v>986</v>
      </c>
    </row>
    <row r="285" spans="1:16" ht="25.5" customHeight="1" thickBot="1" x14ac:dyDescent="0.3">
      <c r="B285" s="1150"/>
      <c r="C285" s="1145" t="s">
        <v>1040</v>
      </c>
      <c r="D285" s="1145"/>
      <c r="E285" s="520" t="s">
        <v>986</v>
      </c>
      <c r="F285" s="520" t="s">
        <v>986</v>
      </c>
      <c r="G285" s="520" t="s">
        <v>51</v>
      </c>
      <c r="H285" s="602" t="s">
        <v>986</v>
      </c>
      <c r="I285" s="706" t="s">
        <v>986</v>
      </c>
      <c r="J285" s="520" t="s">
        <v>1352</v>
      </c>
      <c r="K285" s="520" t="s">
        <v>51</v>
      </c>
      <c r="L285" s="602" t="s">
        <v>1389</v>
      </c>
      <c r="M285" s="706" t="s">
        <v>51</v>
      </c>
      <c r="N285" s="520" t="s">
        <v>428</v>
      </c>
      <c r="O285" s="520" t="s">
        <v>51</v>
      </c>
      <c r="P285" s="602" t="s">
        <v>428</v>
      </c>
    </row>
    <row r="286" spans="1:16" ht="36" customHeight="1" thickBot="1" x14ac:dyDescent="0.3">
      <c r="B286" s="1151"/>
      <c r="C286" s="1144" t="s">
        <v>1041</v>
      </c>
      <c r="D286" s="1144"/>
      <c r="E286" s="722" t="s">
        <v>986</v>
      </c>
      <c r="F286" s="722" t="s">
        <v>1312</v>
      </c>
      <c r="G286" s="722" t="s">
        <v>51</v>
      </c>
      <c r="H286" s="723" t="s">
        <v>1331</v>
      </c>
      <c r="I286" s="724" t="s">
        <v>1349</v>
      </c>
      <c r="J286" s="722" t="s">
        <v>1353</v>
      </c>
      <c r="K286" s="722" t="s">
        <v>51</v>
      </c>
      <c r="L286" s="723" t="s">
        <v>1390</v>
      </c>
      <c r="M286" s="724" t="s">
        <v>51</v>
      </c>
      <c r="N286" s="722" t="s">
        <v>1008</v>
      </c>
      <c r="O286" s="722" t="s">
        <v>51</v>
      </c>
      <c r="P286" s="723" t="s">
        <v>1008</v>
      </c>
    </row>
    <row r="287" spans="1:16" x14ac:dyDescent="0.25">
      <c r="B287" s="1027" t="s">
        <v>1922</v>
      </c>
      <c r="C287" s="1027"/>
      <c r="K287" s="205"/>
    </row>
    <row r="288" spans="1:16" x14ac:dyDescent="0.25">
      <c r="B288" s="44" t="s">
        <v>429</v>
      </c>
    </row>
  </sheetData>
  <mergeCells count="393">
    <mergeCell ref="L197:O197"/>
    <mergeCell ref="B146:C146"/>
    <mergeCell ref="B147:C147"/>
    <mergeCell ref="T110:U110"/>
    <mergeCell ref="T104:U104"/>
    <mergeCell ref="B141:C141"/>
    <mergeCell ref="B142:C142"/>
    <mergeCell ref="B138:C138"/>
    <mergeCell ref="B139:C139"/>
    <mergeCell ref="B140:C140"/>
    <mergeCell ref="B143:C143"/>
    <mergeCell ref="B144:C144"/>
    <mergeCell ref="B145:C145"/>
    <mergeCell ref="T113:U113"/>
    <mergeCell ref="D114:F114"/>
    <mergeCell ref="J114:K114"/>
    <mergeCell ref="T116:U116"/>
    <mergeCell ref="T114:U114"/>
    <mergeCell ref="J115:K115"/>
    <mergeCell ref="O115:P115"/>
    <mergeCell ref="T115:U115"/>
    <mergeCell ref="T111:U111"/>
    <mergeCell ref="D112:F112"/>
    <mergeCell ref="J112:K112"/>
    <mergeCell ref="L191:M191"/>
    <mergeCell ref="N191:O191"/>
    <mergeCell ref="B192:C192"/>
    <mergeCell ref="L192:M192"/>
    <mergeCell ref="N192:O192"/>
    <mergeCell ref="B193:C193"/>
    <mergeCell ref="B194:C194"/>
    <mergeCell ref="L194:M194"/>
    <mergeCell ref="N194:O194"/>
    <mergeCell ref="N159:O159"/>
    <mergeCell ref="L161:M161"/>
    <mergeCell ref="B177:C177"/>
    <mergeCell ref="B178:C178"/>
    <mergeCell ref="B179:C179"/>
    <mergeCell ref="B172:C172"/>
    <mergeCell ref="B173:C173"/>
    <mergeCell ref="B174:C174"/>
    <mergeCell ref="B175:C175"/>
    <mergeCell ref="B176:C176"/>
    <mergeCell ref="D163:O163"/>
    <mergeCell ref="D164:G164"/>
    <mergeCell ref="H164:K164"/>
    <mergeCell ref="L164:O164"/>
    <mergeCell ref="N161:O161"/>
    <mergeCell ref="B169:C169"/>
    <mergeCell ref="B170:C170"/>
    <mergeCell ref="B171:C171"/>
    <mergeCell ref="B164:C165"/>
    <mergeCell ref="B166:C166"/>
    <mergeCell ref="B167:C167"/>
    <mergeCell ref="B168:C168"/>
    <mergeCell ref="B159:C159"/>
    <mergeCell ref="B160:C160"/>
    <mergeCell ref="B148:C148"/>
    <mergeCell ref="B149:C149"/>
    <mergeCell ref="B150:C150"/>
    <mergeCell ref="O116:P116"/>
    <mergeCell ref="L134:M134"/>
    <mergeCell ref="D115:F115"/>
    <mergeCell ref="L158:M158"/>
    <mergeCell ref="N158:O158"/>
    <mergeCell ref="B151:C151"/>
    <mergeCell ref="B152:C152"/>
    <mergeCell ref="B153:C153"/>
    <mergeCell ref="B158:C158"/>
    <mergeCell ref="L136:O136"/>
    <mergeCell ref="B130:C130"/>
    <mergeCell ref="B121:C121"/>
    <mergeCell ref="L122:M122"/>
    <mergeCell ref="D136:G136"/>
    <mergeCell ref="N134:O134"/>
    <mergeCell ref="H136:K136"/>
    <mergeCell ref="B136:C137"/>
    <mergeCell ref="D135:O135"/>
    <mergeCell ref="J116:K116"/>
    <mergeCell ref="B129:C129"/>
    <mergeCell ref="B132:C132"/>
    <mergeCell ref="A117:A120"/>
    <mergeCell ref="B117:C120"/>
    <mergeCell ref="D117:F117"/>
    <mergeCell ref="J117:K117"/>
    <mergeCell ref="O117:P117"/>
    <mergeCell ref="T117:U117"/>
    <mergeCell ref="D118:F118"/>
    <mergeCell ref="J118:K118"/>
    <mergeCell ref="O118:P118"/>
    <mergeCell ref="T118:U118"/>
    <mergeCell ref="D119:F119"/>
    <mergeCell ref="J119:K119"/>
    <mergeCell ref="O119:P119"/>
    <mergeCell ref="T119:U119"/>
    <mergeCell ref="D120:F120"/>
    <mergeCell ref="J120:K120"/>
    <mergeCell ref="O120:P120"/>
    <mergeCell ref="T120:U120"/>
    <mergeCell ref="T100:U100"/>
    <mergeCell ref="Q98:U98"/>
    <mergeCell ref="T99:U99"/>
    <mergeCell ref="L98:P98"/>
    <mergeCell ref="B100:F100"/>
    <mergeCell ref="J100:K100"/>
    <mergeCell ref="T112:U112"/>
    <mergeCell ref="J111:K111"/>
    <mergeCell ref="T107:U107"/>
    <mergeCell ref="D108:F108"/>
    <mergeCell ref="J108:K108"/>
    <mergeCell ref="O108:P108"/>
    <mergeCell ref="T108:U108"/>
    <mergeCell ref="D109:F109"/>
    <mergeCell ref="J109:K109"/>
    <mergeCell ref="O109:P109"/>
    <mergeCell ref="T109:U109"/>
    <mergeCell ref="O112:P112"/>
    <mergeCell ref="T105:U105"/>
    <mergeCell ref="D106:F106"/>
    <mergeCell ref="J106:K106"/>
    <mergeCell ref="O106:P106"/>
    <mergeCell ref="T106:U106"/>
    <mergeCell ref="T101:U101"/>
    <mergeCell ref="B101:C103"/>
    <mergeCell ref="D102:F102"/>
    <mergeCell ref="O102:P102"/>
    <mergeCell ref="T102:U102"/>
    <mergeCell ref="D103:F103"/>
    <mergeCell ref="J103:K103"/>
    <mergeCell ref="O103:P103"/>
    <mergeCell ref="T103:U103"/>
    <mergeCell ref="J105:K105"/>
    <mergeCell ref="J101:K101"/>
    <mergeCell ref="D104:F104"/>
    <mergeCell ref="J104:K104"/>
    <mergeCell ref="O104:P104"/>
    <mergeCell ref="D105:F105"/>
    <mergeCell ref="O105:P105"/>
    <mergeCell ref="J92:K92"/>
    <mergeCell ref="I56:N56"/>
    <mergeCell ref="I75:N75"/>
    <mergeCell ref="D93:E93"/>
    <mergeCell ref="D94:E94"/>
    <mergeCell ref="J99:K99"/>
    <mergeCell ref="O99:P99"/>
    <mergeCell ref="B99:C99"/>
    <mergeCell ref="D99:F99"/>
    <mergeCell ref="J90:K90"/>
    <mergeCell ref="F91:G91"/>
    <mergeCell ref="B90:C90"/>
    <mergeCell ref="D90:E90"/>
    <mergeCell ref="G81:H81"/>
    <mergeCell ref="D92:E92"/>
    <mergeCell ref="F92:G92"/>
    <mergeCell ref="H92:I92"/>
    <mergeCell ref="D107:F107"/>
    <mergeCell ref="J107:K107"/>
    <mergeCell ref="O107:P107"/>
    <mergeCell ref="D110:F110"/>
    <mergeCell ref="J110:K110"/>
    <mergeCell ref="L126:M126"/>
    <mergeCell ref="B287:C287"/>
    <mergeCell ref="B240:C240"/>
    <mergeCell ref="B241:C241"/>
    <mergeCell ref="B186:C186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57:B261"/>
    <mergeCell ref="B191:C191"/>
    <mergeCell ref="O100:P100"/>
    <mergeCell ref="B104:C115"/>
    <mergeCell ref="B270:B272"/>
    <mergeCell ref="B273:B274"/>
    <mergeCell ref="C286:D286"/>
    <mergeCell ref="C285:D285"/>
    <mergeCell ref="C284:D284"/>
    <mergeCell ref="B48:C48"/>
    <mergeCell ref="B49:C49"/>
    <mergeCell ref="B58:C61"/>
    <mergeCell ref="D56:E57"/>
    <mergeCell ref="D61:E61"/>
    <mergeCell ref="D81:E81"/>
    <mergeCell ref="D79:E79"/>
    <mergeCell ref="B116:F116"/>
    <mergeCell ref="D91:E91"/>
    <mergeCell ref="F90:G90"/>
    <mergeCell ref="G79:H79"/>
    <mergeCell ref="G77:H77"/>
    <mergeCell ref="G75:H76"/>
    <mergeCell ref="G98:K98"/>
    <mergeCell ref="B77:C79"/>
    <mergeCell ref="B93:C93"/>
    <mergeCell ref="B235:C235"/>
    <mergeCell ref="H23:I23"/>
    <mergeCell ref="B28:C28"/>
    <mergeCell ref="B26:C26"/>
    <mergeCell ref="B25:C25"/>
    <mergeCell ref="B23:C24"/>
    <mergeCell ref="D23:E24"/>
    <mergeCell ref="D26:E26"/>
    <mergeCell ref="D25:E25"/>
    <mergeCell ref="B33:C34"/>
    <mergeCell ref="B36:C36"/>
    <mergeCell ref="F36:G36"/>
    <mergeCell ref="F35:G35"/>
    <mergeCell ref="F33:G34"/>
    <mergeCell ref="D36:E36"/>
    <mergeCell ref="D35:E35"/>
    <mergeCell ref="G61:H61"/>
    <mergeCell ref="G60:H60"/>
    <mergeCell ref="D60:E60"/>
    <mergeCell ref="D59:E59"/>
    <mergeCell ref="D58:E58"/>
    <mergeCell ref="B50:C50"/>
    <mergeCell ref="B56:C57"/>
    <mergeCell ref="B47:C47"/>
    <mergeCell ref="B13:C14"/>
    <mergeCell ref="H13:I14"/>
    <mergeCell ref="F13:G14"/>
    <mergeCell ref="D13:E14"/>
    <mergeCell ref="B38:C38"/>
    <mergeCell ref="D45:F45"/>
    <mergeCell ref="B16:C16"/>
    <mergeCell ref="B15:C15"/>
    <mergeCell ref="H15:I15"/>
    <mergeCell ref="H16:I16"/>
    <mergeCell ref="F16:G16"/>
    <mergeCell ref="F15:G15"/>
    <mergeCell ref="D16:E16"/>
    <mergeCell ref="D15:E15"/>
    <mergeCell ref="B45:C46"/>
    <mergeCell ref="B18:C18"/>
    <mergeCell ref="F23:G23"/>
    <mergeCell ref="B17:C17"/>
    <mergeCell ref="F17:G17"/>
    <mergeCell ref="D17:E17"/>
    <mergeCell ref="H17:I17"/>
    <mergeCell ref="D33:E34"/>
    <mergeCell ref="H33:K33"/>
    <mergeCell ref="B35:C35"/>
    <mergeCell ref="B91:C91"/>
    <mergeCell ref="D63:E63"/>
    <mergeCell ref="B62:H62"/>
    <mergeCell ref="G68:H68"/>
    <mergeCell ref="B69:H69"/>
    <mergeCell ref="B81:C81"/>
    <mergeCell ref="D75:E76"/>
    <mergeCell ref="B80:H80"/>
    <mergeCell ref="D78:E78"/>
    <mergeCell ref="G78:H78"/>
    <mergeCell ref="F75:F76"/>
    <mergeCell ref="D77:E77"/>
    <mergeCell ref="H91:I91"/>
    <mergeCell ref="H90:I90"/>
    <mergeCell ref="G64:H64"/>
    <mergeCell ref="G63:H63"/>
    <mergeCell ref="D68:E68"/>
    <mergeCell ref="D67:E67"/>
    <mergeCell ref="D66:E66"/>
    <mergeCell ref="D65:E65"/>
    <mergeCell ref="D64:E64"/>
    <mergeCell ref="G67:H67"/>
    <mergeCell ref="B75:C76"/>
    <mergeCell ref="B70:C70"/>
    <mergeCell ref="F56:F57"/>
    <mergeCell ref="G56:H57"/>
    <mergeCell ref="G59:H59"/>
    <mergeCell ref="G58:H58"/>
    <mergeCell ref="B63:C68"/>
    <mergeCell ref="G66:H66"/>
    <mergeCell ref="G65:H65"/>
    <mergeCell ref="B82:H82"/>
    <mergeCell ref="B83:C83"/>
    <mergeCell ref="O111:P111"/>
    <mergeCell ref="O113:P113"/>
    <mergeCell ref="B131:C131"/>
    <mergeCell ref="O114:P114"/>
    <mergeCell ref="H127:I127"/>
    <mergeCell ref="D111:F111"/>
    <mergeCell ref="N122:O122"/>
    <mergeCell ref="L125:M125"/>
    <mergeCell ref="N125:O125"/>
    <mergeCell ref="N126:O126"/>
    <mergeCell ref="N127:O127"/>
    <mergeCell ref="J113:K113"/>
    <mergeCell ref="D113:F113"/>
    <mergeCell ref="L127:M127"/>
    <mergeCell ref="B211:C211"/>
    <mergeCell ref="B212:C212"/>
    <mergeCell ref="L159:M159"/>
    <mergeCell ref="B184:C184"/>
    <mergeCell ref="B185:C185"/>
    <mergeCell ref="B182:C182"/>
    <mergeCell ref="B183:C183"/>
    <mergeCell ref="B199:C199"/>
    <mergeCell ref="B207:C207"/>
    <mergeCell ref="B205:C205"/>
    <mergeCell ref="B206:C206"/>
    <mergeCell ref="B202:C202"/>
    <mergeCell ref="B201:C201"/>
    <mergeCell ref="B210:C210"/>
    <mergeCell ref="B203:C203"/>
    <mergeCell ref="B204:C204"/>
    <mergeCell ref="B208:C208"/>
    <mergeCell ref="B209:C209"/>
    <mergeCell ref="B200:C200"/>
    <mergeCell ref="B161:C161"/>
    <mergeCell ref="D196:O196"/>
    <mergeCell ref="B197:C198"/>
    <mergeCell ref="D197:G197"/>
    <mergeCell ref="H197:K197"/>
    <mergeCell ref="C274:D274"/>
    <mergeCell ref="B277:B280"/>
    <mergeCell ref="B281:B282"/>
    <mergeCell ref="B283:B286"/>
    <mergeCell ref="N243:O243"/>
    <mergeCell ref="E245:P245"/>
    <mergeCell ref="E246:H246"/>
    <mergeCell ref="I246:L246"/>
    <mergeCell ref="M246:P246"/>
    <mergeCell ref="B246:D247"/>
    <mergeCell ref="B248:D248"/>
    <mergeCell ref="B249:D249"/>
    <mergeCell ref="C255:D255"/>
    <mergeCell ref="C254:D254"/>
    <mergeCell ref="C252:D252"/>
    <mergeCell ref="C251:D251"/>
    <mergeCell ref="C253:D253"/>
    <mergeCell ref="B250:D250"/>
    <mergeCell ref="B251:B256"/>
    <mergeCell ref="C256:D256"/>
    <mergeCell ref="C261:D261"/>
    <mergeCell ref="C260:D260"/>
    <mergeCell ref="B262:B266"/>
    <mergeCell ref="B267:B269"/>
    <mergeCell ref="C259:D259"/>
    <mergeCell ref="C258:D258"/>
    <mergeCell ref="C257:D257"/>
    <mergeCell ref="C279:D279"/>
    <mergeCell ref="C278:D278"/>
    <mergeCell ref="C277:D277"/>
    <mergeCell ref="C283:D283"/>
    <mergeCell ref="C267:D267"/>
    <mergeCell ref="C266:D266"/>
    <mergeCell ref="C265:D265"/>
    <mergeCell ref="C264:D264"/>
    <mergeCell ref="C263:D263"/>
    <mergeCell ref="C262:D262"/>
    <mergeCell ref="C273:D273"/>
    <mergeCell ref="C272:D272"/>
    <mergeCell ref="C271:D271"/>
    <mergeCell ref="C270:D270"/>
    <mergeCell ref="C269:D269"/>
    <mergeCell ref="C268:D268"/>
    <mergeCell ref="C282:D282"/>
    <mergeCell ref="C281:D281"/>
    <mergeCell ref="C280:D280"/>
    <mergeCell ref="C276:D276"/>
    <mergeCell ref="C275:D275"/>
    <mergeCell ref="L240:M240"/>
    <mergeCell ref="N240:O240"/>
    <mergeCell ref="N241:O241"/>
    <mergeCell ref="B242:C242"/>
    <mergeCell ref="B243:C243"/>
    <mergeCell ref="A101:A112"/>
    <mergeCell ref="J91:K91"/>
    <mergeCell ref="D101:F101"/>
    <mergeCell ref="J102:K102"/>
    <mergeCell ref="O101:P101"/>
    <mergeCell ref="O110:P110"/>
    <mergeCell ref="B92:C92"/>
    <mergeCell ref="B180:C180"/>
    <mergeCell ref="B225:C225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34:C234"/>
    <mergeCell ref="B181:C18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7:AH921"/>
  <sheetViews>
    <sheetView zoomScaleNormal="100" workbookViewId="0">
      <selection activeCell="E902" sqref="E902"/>
    </sheetView>
  </sheetViews>
  <sheetFormatPr baseColWidth="10" defaultColWidth="11.42578125" defaultRowHeight="15" x14ac:dyDescent="0.25"/>
  <cols>
    <col min="2" max="2" width="11.42578125" customWidth="1"/>
    <col min="3" max="3" width="17.85546875" customWidth="1"/>
    <col min="4" max="8" width="11.7109375" customWidth="1"/>
    <col min="9" max="9" width="14.42578125" customWidth="1"/>
    <col min="10" max="13" width="11.7109375" customWidth="1"/>
    <col min="14" max="24" width="11.42578125" customWidth="1"/>
  </cols>
  <sheetData>
    <row r="7" spans="2:15" ht="18" x14ac:dyDescent="0.25">
      <c r="B7" s="1" t="s">
        <v>0</v>
      </c>
    </row>
    <row r="9" spans="2:15" ht="18" x14ac:dyDescent="0.25">
      <c r="B9" s="1" t="s">
        <v>642</v>
      </c>
    </row>
    <row r="10" spans="2:15" ht="18" x14ac:dyDescent="0.25">
      <c r="B10" s="1"/>
    </row>
    <row r="12" spans="2:15" x14ac:dyDescent="0.25">
      <c r="B12" s="680" t="s">
        <v>815</v>
      </c>
      <c r="C12" s="680"/>
      <c r="D12" s="680"/>
      <c r="E12" s="680"/>
      <c r="F12" s="680"/>
      <c r="G12" s="59"/>
      <c r="H12" s="48"/>
      <c r="I12" s="278"/>
      <c r="J12" s="48"/>
      <c r="K12" s="54"/>
      <c r="L12" s="55"/>
      <c r="M12" s="56"/>
      <c r="N12" s="56"/>
      <c r="O12" s="56"/>
    </row>
    <row r="13" spans="2:15" x14ac:dyDescent="0.25">
      <c r="B13" s="1322" t="s">
        <v>7</v>
      </c>
      <c r="C13" s="1322"/>
      <c r="D13" s="1322"/>
      <c r="E13" s="1322"/>
      <c r="F13" s="1322"/>
      <c r="G13" s="1322"/>
      <c r="H13" s="1322"/>
      <c r="I13" s="1322"/>
      <c r="J13" s="1322"/>
      <c r="K13" s="1322"/>
      <c r="L13" s="55"/>
      <c r="M13" s="56"/>
      <c r="N13" s="56"/>
      <c r="O13" s="56"/>
    </row>
    <row r="14" spans="2:15" ht="15.75" customHeight="1" thickBot="1" x14ac:dyDescent="0.3">
      <c r="B14" s="778" t="s">
        <v>505</v>
      </c>
      <c r="C14" s="778"/>
      <c r="D14" s="1272" t="s">
        <v>506</v>
      </c>
      <c r="E14" s="1272"/>
      <c r="F14" s="1272" t="s">
        <v>413</v>
      </c>
      <c r="G14" s="1272"/>
      <c r="H14" s="1272" t="s">
        <v>580</v>
      </c>
      <c r="I14" s="1272"/>
      <c r="J14" s="1272" t="s">
        <v>1031</v>
      </c>
      <c r="K14" s="1272"/>
    </row>
    <row r="15" spans="2:15" ht="15.75" thickBot="1" x14ac:dyDescent="0.3">
      <c r="B15" s="814" t="s">
        <v>1851</v>
      </c>
      <c r="C15" s="814"/>
      <c r="D15" s="1219">
        <v>1</v>
      </c>
      <c r="E15" s="1219"/>
      <c r="F15" s="1217" t="s">
        <v>1852</v>
      </c>
      <c r="G15" s="1217"/>
      <c r="H15" s="1217" t="s">
        <v>1853</v>
      </c>
      <c r="I15" s="1217"/>
      <c r="J15" s="1217" t="s">
        <v>936</v>
      </c>
      <c r="K15" s="1217"/>
    </row>
    <row r="16" spans="2:15" ht="15.75" thickBot="1" x14ac:dyDescent="0.3">
      <c r="B16" s="1218" t="s">
        <v>1854</v>
      </c>
      <c r="C16" s="1218"/>
      <c r="D16" s="1219">
        <v>1</v>
      </c>
      <c r="E16" s="1219"/>
      <c r="F16" s="1220" t="s">
        <v>1855</v>
      </c>
      <c r="G16" s="1220"/>
      <c r="H16" s="1220" t="s">
        <v>1853</v>
      </c>
      <c r="I16" s="1220"/>
      <c r="J16" s="1217" t="s">
        <v>1856</v>
      </c>
      <c r="K16" s="1217"/>
    </row>
    <row r="17" spans="2:24" ht="15.75" thickBot="1" x14ac:dyDescent="0.3">
      <c r="B17" s="1218" t="s">
        <v>1857</v>
      </c>
      <c r="C17" s="1218"/>
      <c r="D17" s="1219">
        <v>1</v>
      </c>
      <c r="E17" s="1219"/>
      <c r="F17" s="1220" t="s">
        <v>1858</v>
      </c>
      <c r="G17" s="1220"/>
      <c r="H17" s="1220" t="s">
        <v>1853</v>
      </c>
      <c r="I17" s="1220"/>
      <c r="J17" s="1217" t="s">
        <v>1130</v>
      </c>
      <c r="K17" s="1217"/>
    </row>
    <row r="18" spans="2:24" ht="15.75" thickBot="1" x14ac:dyDescent="0.3">
      <c r="B18" s="1218" t="s">
        <v>1859</v>
      </c>
      <c r="C18" s="1218"/>
      <c r="D18" s="1219">
        <v>1</v>
      </c>
      <c r="E18" s="1219"/>
      <c r="F18" s="1220" t="s">
        <v>1860</v>
      </c>
      <c r="G18" s="1220"/>
      <c r="H18" s="1220" t="s">
        <v>1853</v>
      </c>
      <c r="I18" s="1220"/>
      <c r="J18" s="1217" t="s">
        <v>407</v>
      </c>
      <c r="K18" s="1217"/>
    </row>
    <row r="19" spans="2:24" ht="15.75" thickBot="1" x14ac:dyDescent="0.3">
      <c r="B19" s="1218" t="s">
        <v>1861</v>
      </c>
      <c r="C19" s="1218"/>
      <c r="D19" s="1219">
        <v>1</v>
      </c>
      <c r="E19" s="1219"/>
      <c r="F19" s="1220" t="s">
        <v>1852</v>
      </c>
      <c r="G19" s="1220"/>
      <c r="H19" s="1220" t="s">
        <v>1853</v>
      </c>
      <c r="I19" s="1220"/>
      <c r="J19" s="1217" t="s">
        <v>937</v>
      </c>
      <c r="K19" s="1217"/>
    </row>
    <row r="20" spans="2:24" ht="15" customHeight="1" thickBot="1" x14ac:dyDescent="0.3">
      <c r="B20" s="1218" t="s">
        <v>1862</v>
      </c>
      <c r="C20" s="1218"/>
      <c r="D20" s="1219">
        <v>1</v>
      </c>
      <c r="E20" s="1219"/>
      <c r="F20" s="1220" t="s">
        <v>1855</v>
      </c>
      <c r="G20" s="1220"/>
      <c r="H20" s="1220" t="s">
        <v>1853</v>
      </c>
      <c r="I20" s="1220"/>
      <c r="J20" s="1217" t="s">
        <v>939</v>
      </c>
      <c r="K20" s="1217"/>
      <c r="L20" s="447"/>
      <c r="M20" s="447"/>
      <c r="N20" s="447"/>
      <c r="O20" s="447"/>
    </row>
    <row r="21" spans="2:24" ht="15.75" thickBot="1" x14ac:dyDescent="0.3">
      <c r="B21" s="1218" t="s">
        <v>1863</v>
      </c>
      <c r="C21" s="1218"/>
      <c r="D21" s="1219">
        <v>1</v>
      </c>
      <c r="E21" s="1219"/>
      <c r="F21" s="1220" t="s">
        <v>1864</v>
      </c>
      <c r="G21" s="1220"/>
      <c r="H21" s="1220" t="s">
        <v>1853</v>
      </c>
      <c r="I21" s="1220"/>
      <c r="J21" s="1217" t="s">
        <v>1395</v>
      </c>
      <c r="K21" s="1217"/>
      <c r="L21" s="447"/>
      <c r="M21" s="447"/>
      <c r="N21" s="447"/>
      <c r="O21" s="447"/>
    </row>
    <row r="22" spans="2:24" ht="15.75" thickBot="1" x14ac:dyDescent="0.3">
      <c r="B22" s="1218" t="s">
        <v>1865</v>
      </c>
      <c r="C22" s="1218"/>
      <c r="D22" s="1219">
        <v>1</v>
      </c>
      <c r="E22" s="1219"/>
      <c r="F22" s="1220" t="s">
        <v>1855</v>
      </c>
      <c r="G22" s="1220"/>
      <c r="H22" s="1220" t="s">
        <v>1853</v>
      </c>
      <c r="I22" s="1220"/>
      <c r="J22" s="1217" t="s">
        <v>1866</v>
      </c>
      <c r="K22" s="1217"/>
      <c r="L22" s="447"/>
      <c r="M22" s="447"/>
      <c r="N22" s="447"/>
      <c r="O22" s="447"/>
    </row>
    <row r="23" spans="2:24" ht="15.75" thickBot="1" x14ac:dyDescent="0.3">
      <c r="B23" s="1218" t="s">
        <v>1867</v>
      </c>
      <c r="C23" s="1218"/>
      <c r="D23" s="1219">
        <v>1</v>
      </c>
      <c r="E23" s="1219"/>
      <c r="F23" s="1220" t="s">
        <v>1864</v>
      </c>
      <c r="G23" s="1220"/>
      <c r="H23" s="1220" t="s">
        <v>1853</v>
      </c>
      <c r="I23" s="1220"/>
      <c r="J23" s="1217" t="s">
        <v>939</v>
      </c>
      <c r="K23" s="1217"/>
      <c r="L23" s="447"/>
      <c r="M23" s="447"/>
      <c r="N23" s="447"/>
      <c r="O23" s="447"/>
    </row>
    <row r="24" spans="2:24" ht="15.75" thickBot="1" x14ac:dyDescent="0.3">
      <c r="B24" s="1218" t="s">
        <v>1868</v>
      </c>
      <c r="C24" s="1218"/>
      <c r="D24" s="1219">
        <v>1</v>
      </c>
      <c r="E24" s="1219"/>
      <c r="F24" s="1220" t="s">
        <v>1852</v>
      </c>
      <c r="G24" s="1220"/>
      <c r="H24" s="1220" t="s">
        <v>1853</v>
      </c>
      <c r="I24" s="1220"/>
      <c r="J24" s="1217" t="s">
        <v>1869</v>
      </c>
      <c r="K24" s="1217"/>
      <c r="L24" s="447"/>
      <c r="M24" s="447"/>
      <c r="N24" s="447"/>
      <c r="O24" s="447"/>
    </row>
    <row r="25" spans="2:24" ht="15.75" thickBot="1" x14ac:dyDescent="0.3">
      <c r="B25" s="1218" t="s">
        <v>1870</v>
      </c>
      <c r="C25" s="1218"/>
      <c r="D25" s="1219">
        <v>1</v>
      </c>
      <c r="E25" s="1219"/>
      <c r="F25" s="1220" t="s">
        <v>1855</v>
      </c>
      <c r="G25" s="1220"/>
      <c r="H25" s="1220" t="s">
        <v>1853</v>
      </c>
      <c r="I25" s="1220"/>
      <c r="J25" s="1217" t="s">
        <v>407</v>
      </c>
      <c r="K25" s="1217"/>
      <c r="L25" s="447"/>
      <c r="M25" s="447"/>
      <c r="N25" s="447"/>
      <c r="O25" s="447"/>
      <c r="P25" s="659"/>
      <c r="Q25" s="659"/>
      <c r="R25" s="659"/>
      <c r="S25" s="659"/>
      <c r="T25" s="659"/>
      <c r="U25" s="659"/>
      <c r="V25" s="659"/>
      <c r="W25" s="659"/>
      <c r="X25" s="659"/>
    </row>
    <row r="26" spans="2:24" ht="15.75" thickBot="1" x14ac:dyDescent="0.3">
      <c r="B26" s="1218" t="s">
        <v>1871</v>
      </c>
      <c r="C26" s="1218"/>
      <c r="D26" s="1219">
        <v>1</v>
      </c>
      <c r="E26" s="1219"/>
      <c r="F26" s="1220" t="s">
        <v>1855</v>
      </c>
      <c r="G26" s="1220"/>
      <c r="H26" s="1220" t="s">
        <v>1853</v>
      </c>
      <c r="I26" s="1220"/>
      <c r="J26" s="1217" t="s">
        <v>936</v>
      </c>
      <c r="K26" s="1217"/>
      <c r="L26" s="447"/>
      <c r="M26" s="447"/>
      <c r="N26" s="447"/>
      <c r="O26" s="447"/>
      <c r="P26" s="659"/>
      <c r="Q26" s="659"/>
      <c r="R26" s="659"/>
      <c r="S26" s="659"/>
      <c r="T26" s="659"/>
      <c r="U26" s="659"/>
      <c r="V26" s="659"/>
      <c r="W26" s="659"/>
      <c r="X26" s="659"/>
    </row>
    <row r="27" spans="2:24" ht="15.75" thickBot="1" x14ac:dyDescent="0.3">
      <c r="B27" s="1218" t="s">
        <v>1872</v>
      </c>
      <c r="C27" s="1218"/>
      <c r="D27" s="1219">
        <v>1</v>
      </c>
      <c r="E27" s="1219"/>
      <c r="F27" s="1221" t="s">
        <v>1864</v>
      </c>
      <c r="G27" s="1221"/>
      <c r="H27" s="1221" t="s">
        <v>1853</v>
      </c>
      <c r="I27" s="1221"/>
      <c r="J27" s="1221" t="s">
        <v>937</v>
      </c>
      <c r="K27" s="1221"/>
      <c r="L27" s="447"/>
      <c r="M27" s="447"/>
      <c r="N27" s="447"/>
      <c r="O27" s="447"/>
      <c r="P27" s="659"/>
      <c r="Q27" s="659"/>
      <c r="R27" s="659"/>
      <c r="S27" s="659"/>
      <c r="T27" s="659"/>
      <c r="U27" s="659"/>
      <c r="V27" s="659"/>
      <c r="W27" s="659"/>
      <c r="X27" s="659"/>
    </row>
    <row r="28" spans="2:24" ht="15.75" thickBot="1" x14ac:dyDescent="0.3">
      <c r="B28" s="1218" t="s">
        <v>1873</v>
      </c>
      <c r="C28" s="1218"/>
      <c r="D28" s="1219">
        <v>1</v>
      </c>
      <c r="E28" s="1219"/>
      <c r="F28" s="1221" t="s">
        <v>1864</v>
      </c>
      <c r="G28" s="1221"/>
      <c r="H28" s="1221" t="s">
        <v>1853</v>
      </c>
      <c r="I28" s="1221"/>
      <c r="J28" s="1221" t="s">
        <v>936</v>
      </c>
      <c r="K28" s="1221"/>
      <c r="L28" s="447"/>
      <c r="M28" s="447"/>
      <c r="N28" s="447"/>
      <c r="O28" s="447"/>
      <c r="P28" s="659"/>
      <c r="Q28" s="659"/>
      <c r="R28" s="659"/>
      <c r="S28" s="659"/>
      <c r="T28" s="659"/>
      <c r="U28" s="659"/>
      <c r="V28" s="659"/>
      <c r="W28" s="659"/>
      <c r="X28" s="659"/>
    </row>
    <row r="29" spans="2:24" ht="15.75" thickBot="1" x14ac:dyDescent="0.3">
      <c r="B29" s="1218" t="s">
        <v>1874</v>
      </c>
      <c r="C29" s="1218"/>
      <c r="D29" s="1219">
        <v>1</v>
      </c>
      <c r="E29" s="1219"/>
      <c r="F29" s="1221" t="s">
        <v>1858</v>
      </c>
      <c r="G29" s="1221"/>
      <c r="H29" s="1221" t="s">
        <v>1853</v>
      </c>
      <c r="I29" s="1221"/>
      <c r="J29" s="1221" t="s">
        <v>937</v>
      </c>
      <c r="K29" s="1221"/>
      <c r="L29" s="447"/>
      <c r="M29" s="447"/>
      <c r="N29" s="447"/>
      <c r="O29" s="447"/>
      <c r="P29" s="659"/>
      <c r="Q29" s="659"/>
      <c r="R29" s="659"/>
      <c r="S29" s="659"/>
      <c r="T29" s="659"/>
      <c r="U29" s="659"/>
      <c r="V29" s="659"/>
      <c r="W29" s="659"/>
      <c r="X29" s="659"/>
    </row>
    <row r="30" spans="2:24" ht="15.75" thickBot="1" x14ac:dyDescent="0.3">
      <c r="B30" s="1218" t="s">
        <v>1875</v>
      </c>
      <c r="C30" s="1218"/>
      <c r="D30" s="1219">
        <v>1</v>
      </c>
      <c r="E30" s="1219"/>
      <c r="F30" s="1221" t="s">
        <v>1852</v>
      </c>
      <c r="G30" s="1221"/>
      <c r="H30" s="1221" t="s">
        <v>1853</v>
      </c>
      <c r="I30" s="1221"/>
      <c r="J30" s="1221" t="s">
        <v>1876</v>
      </c>
      <c r="K30" s="1221"/>
      <c r="L30" s="447"/>
      <c r="M30" s="447"/>
      <c r="N30" s="447"/>
      <c r="O30" s="447"/>
      <c r="P30" s="659"/>
      <c r="Q30" s="659"/>
      <c r="R30" s="659"/>
      <c r="S30" s="659"/>
      <c r="T30" s="659"/>
      <c r="U30" s="659"/>
      <c r="V30" s="659"/>
      <c r="W30" s="659"/>
      <c r="X30" s="659"/>
    </row>
    <row r="31" spans="2:24" ht="15.75" thickBot="1" x14ac:dyDescent="0.3">
      <c r="B31" s="1218" t="s">
        <v>1877</v>
      </c>
      <c r="C31" s="1218"/>
      <c r="D31" s="1219">
        <v>1</v>
      </c>
      <c r="E31" s="1219"/>
      <c r="F31" s="1221" t="s">
        <v>1852</v>
      </c>
      <c r="G31" s="1221"/>
      <c r="H31" s="1221" t="s">
        <v>1853</v>
      </c>
      <c r="I31" s="1221"/>
      <c r="J31" s="1221" t="s">
        <v>1878</v>
      </c>
      <c r="K31" s="1221"/>
      <c r="L31" s="447"/>
      <c r="M31" s="447"/>
      <c r="N31" s="447"/>
      <c r="O31" s="447"/>
      <c r="P31" s="659"/>
      <c r="Q31" s="659"/>
      <c r="R31" s="659"/>
      <c r="S31" s="659"/>
      <c r="T31" s="659"/>
      <c r="U31" s="659"/>
      <c r="V31" s="659"/>
      <c r="W31" s="659"/>
      <c r="X31" s="659"/>
    </row>
    <row r="32" spans="2:24" ht="15.75" thickBot="1" x14ac:dyDescent="0.3">
      <c r="B32" s="1218" t="s">
        <v>1879</v>
      </c>
      <c r="C32" s="1218"/>
      <c r="D32" s="1219">
        <v>1</v>
      </c>
      <c r="E32" s="1219"/>
      <c r="F32" s="1221" t="s">
        <v>1852</v>
      </c>
      <c r="G32" s="1221"/>
      <c r="H32" s="1221" t="s">
        <v>1853</v>
      </c>
      <c r="I32" s="1221"/>
      <c r="J32" s="1221" t="s">
        <v>960</v>
      </c>
      <c r="K32" s="1221"/>
      <c r="L32" s="447"/>
      <c r="M32" s="447"/>
      <c r="N32" s="447"/>
      <c r="O32" s="447"/>
      <c r="P32" s="659"/>
      <c r="Q32" s="659"/>
      <c r="R32" s="659"/>
      <c r="S32" s="659"/>
      <c r="T32" s="659"/>
      <c r="U32" s="659"/>
      <c r="V32" s="659"/>
      <c r="W32" s="659"/>
      <c r="X32" s="659"/>
    </row>
    <row r="33" spans="2:24" ht="15.75" thickBot="1" x14ac:dyDescent="0.3">
      <c r="B33" s="1218" t="s">
        <v>1880</v>
      </c>
      <c r="C33" s="1218"/>
      <c r="D33" s="1219">
        <v>1</v>
      </c>
      <c r="E33" s="1219"/>
      <c r="F33" s="1220" t="s">
        <v>1864</v>
      </c>
      <c r="G33" s="1220"/>
      <c r="H33" s="1220" t="s">
        <v>1853</v>
      </c>
      <c r="I33" s="1220"/>
      <c r="J33" s="1217" t="s">
        <v>938</v>
      </c>
      <c r="K33" s="1217"/>
      <c r="L33" s="447"/>
      <c r="M33" s="447"/>
      <c r="N33" s="447"/>
      <c r="O33" s="447"/>
      <c r="P33" s="659"/>
      <c r="Q33" s="659"/>
      <c r="R33" s="659"/>
      <c r="S33" s="659"/>
      <c r="T33" s="659"/>
      <c r="U33" s="659"/>
      <c r="V33" s="659"/>
      <c r="W33" s="659"/>
      <c r="X33" s="659"/>
    </row>
    <row r="34" spans="2:24" ht="15.75" thickBot="1" x14ac:dyDescent="0.3">
      <c r="B34" s="1218" t="s">
        <v>1881</v>
      </c>
      <c r="C34" s="1218"/>
      <c r="D34" s="1219">
        <v>1</v>
      </c>
      <c r="E34" s="1219"/>
      <c r="F34" s="1220" t="s">
        <v>1855</v>
      </c>
      <c r="G34" s="1220"/>
      <c r="H34" s="1220" t="s">
        <v>1882</v>
      </c>
      <c r="I34" s="1220"/>
      <c r="J34" s="1217" t="s">
        <v>1878</v>
      </c>
      <c r="K34" s="1217"/>
      <c r="L34" s="447"/>
      <c r="M34" s="447"/>
      <c r="N34" s="447"/>
      <c r="O34" s="447"/>
      <c r="P34" s="659"/>
      <c r="Q34" s="659"/>
      <c r="R34" s="659"/>
      <c r="S34" s="659"/>
      <c r="T34" s="659"/>
      <c r="U34" s="659"/>
      <c r="V34" s="659"/>
      <c r="W34" s="659"/>
      <c r="X34" s="659"/>
    </row>
    <row r="35" spans="2:24" ht="15.75" thickBot="1" x14ac:dyDescent="0.3">
      <c r="B35" s="1218" t="s">
        <v>1862</v>
      </c>
      <c r="C35" s="1218"/>
      <c r="D35" s="1219">
        <v>1</v>
      </c>
      <c r="E35" s="1219"/>
      <c r="F35" s="1220" t="s">
        <v>1855</v>
      </c>
      <c r="G35" s="1220"/>
      <c r="H35" s="1220" t="s">
        <v>1882</v>
      </c>
      <c r="I35" s="1220"/>
      <c r="J35" s="1217" t="s">
        <v>939</v>
      </c>
      <c r="K35" s="1217"/>
      <c r="L35" s="447"/>
      <c r="M35" s="447"/>
      <c r="N35" s="447"/>
      <c r="O35" s="447"/>
      <c r="P35" s="659"/>
      <c r="Q35" s="659"/>
      <c r="R35" s="659"/>
      <c r="S35" s="659"/>
      <c r="T35" s="659"/>
      <c r="U35" s="659"/>
      <c r="V35" s="659"/>
      <c r="W35" s="659"/>
      <c r="X35" s="659"/>
    </row>
    <row r="36" spans="2:24" ht="15.75" thickBot="1" x14ac:dyDescent="0.3">
      <c r="B36" s="1218" t="s">
        <v>1865</v>
      </c>
      <c r="C36" s="1218"/>
      <c r="D36" s="1219">
        <v>1</v>
      </c>
      <c r="E36" s="1219"/>
      <c r="F36" s="1221" t="s">
        <v>1855</v>
      </c>
      <c r="G36" s="1221"/>
      <c r="H36" s="1221" t="s">
        <v>1882</v>
      </c>
      <c r="I36" s="1221"/>
      <c r="J36" s="1221" t="s">
        <v>1866</v>
      </c>
      <c r="K36" s="1221"/>
      <c r="L36" s="447"/>
      <c r="M36" s="447"/>
      <c r="N36" s="447"/>
      <c r="O36" s="447"/>
      <c r="P36" s="659"/>
      <c r="Q36" s="659"/>
      <c r="R36" s="659"/>
      <c r="S36" s="659"/>
      <c r="T36" s="659"/>
      <c r="U36" s="659"/>
      <c r="V36" s="659"/>
      <c r="W36" s="659"/>
      <c r="X36" s="659"/>
    </row>
    <row r="37" spans="2:24" ht="15.75" thickBot="1" x14ac:dyDescent="0.3">
      <c r="B37" s="1218" t="s">
        <v>1883</v>
      </c>
      <c r="C37" s="1218"/>
      <c r="D37" s="1219">
        <v>1</v>
      </c>
      <c r="E37" s="1219"/>
      <c r="F37" s="1220" t="s">
        <v>1855</v>
      </c>
      <c r="G37" s="1220"/>
      <c r="H37" s="1220" t="s">
        <v>1882</v>
      </c>
      <c r="I37" s="1220"/>
      <c r="J37" s="1217" t="s">
        <v>1884</v>
      </c>
      <c r="K37" s="1217"/>
      <c r="L37" s="447"/>
      <c r="M37" s="447"/>
      <c r="N37" s="447"/>
      <c r="O37" s="447"/>
      <c r="P37" s="659"/>
      <c r="Q37" s="659"/>
      <c r="R37" s="659"/>
      <c r="S37" s="659"/>
      <c r="T37" s="659"/>
      <c r="U37" s="659"/>
      <c r="V37" s="659"/>
      <c r="W37" s="659"/>
      <c r="X37" s="659"/>
    </row>
    <row r="38" spans="2:24" ht="15.75" thickBot="1" x14ac:dyDescent="0.3">
      <c r="B38" s="814" t="s">
        <v>1854</v>
      </c>
      <c r="C38" s="814"/>
      <c r="D38" s="1219">
        <v>1</v>
      </c>
      <c r="E38" s="1219"/>
      <c r="F38" s="1220" t="s">
        <v>1855</v>
      </c>
      <c r="G38" s="1220"/>
      <c r="H38" s="1220" t="s">
        <v>1882</v>
      </c>
      <c r="I38" s="1220"/>
      <c r="J38" s="1217" t="s">
        <v>1856</v>
      </c>
      <c r="K38" s="1217"/>
      <c r="L38" s="447"/>
      <c r="M38" s="447"/>
      <c r="N38" s="447"/>
      <c r="O38" s="447"/>
      <c r="P38" s="659"/>
      <c r="Q38" s="659"/>
      <c r="R38" s="659"/>
      <c r="S38" s="659"/>
      <c r="T38" s="659"/>
      <c r="U38" s="659"/>
      <c r="V38" s="659"/>
      <c r="W38" s="659"/>
      <c r="X38" s="659"/>
    </row>
    <row r="39" spans="2:24" ht="15.75" thickBot="1" x14ac:dyDescent="0.3">
      <c r="B39" s="1323" t="s">
        <v>77</v>
      </c>
      <c r="C39" s="1323"/>
      <c r="D39" s="1268">
        <f>SUM(D15:D38)</f>
        <v>24</v>
      </c>
      <c r="E39" s="1268"/>
      <c r="F39" s="1268"/>
      <c r="G39" s="1268"/>
      <c r="H39" s="1268"/>
      <c r="I39" s="1268"/>
      <c r="J39" s="1268"/>
      <c r="K39" s="1268"/>
      <c r="L39" s="55"/>
      <c r="M39" s="55"/>
      <c r="Q39" s="58"/>
      <c r="R39" s="58"/>
    </row>
    <row r="40" spans="2:24" x14ac:dyDescent="0.25">
      <c r="B40" s="33"/>
      <c r="Q40" s="58"/>
      <c r="R40" s="58"/>
    </row>
    <row r="41" spans="2:24" x14ac:dyDescent="0.25">
      <c r="B41" s="2"/>
      <c r="C41" s="13"/>
      <c r="D41" s="67"/>
      <c r="F41" s="48"/>
      <c r="G41" s="48"/>
      <c r="Q41" s="58"/>
      <c r="R41" s="58"/>
    </row>
    <row r="42" spans="2:24" x14ac:dyDescent="0.25">
      <c r="B42" s="1274" t="s">
        <v>8</v>
      </c>
      <c r="C42" s="1274"/>
      <c r="D42" s="1274"/>
      <c r="E42" s="1274"/>
      <c r="F42" s="1274"/>
      <c r="G42" s="1274"/>
      <c r="H42" s="1274"/>
      <c r="I42" s="1274"/>
      <c r="Q42" s="58"/>
      <c r="R42" s="58"/>
    </row>
    <row r="43" spans="2:24" ht="15" customHeight="1" thickBot="1" x14ac:dyDescent="0.3">
      <c r="B43" s="1270" t="s">
        <v>505</v>
      </c>
      <c r="C43" s="1271"/>
      <c r="D43" s="1270" t="s">
        <v>506</v>
      </c>
      <c r="E43" s="1271"/>
      <c r="F43" s="1270" t="s">
        <v>413</v>
      </c>
      <c r="G43" s="1271"/>
      <c r="H43" s="1270" t="s">
        <v>580</v>
      </c>
      <c r="I43" s="1271"/>
      <c r="J43" s="1270" t="s">
        <v>1031</v>
      </c>
      <c r="K43" s="1271"/>
    </row>
    <row r="44" spans="2:24" ht="29.25" customHeight="1" thickBot="1" x14ac:dyDescent="0.3">
      <c r="B44" s="1275" t="s">
        <v>1910</v>
      </c>
      <c r="C44" s="1275"/>
      <c r="D44" s="1219">
        <v>48</v>
      </c>
      <c r="E44" s="1219"/>
      <c r="F44" s="1217" t="s">
        <v>1455</v>
      </c>
      <c r="G44" s="1217"/>
      <c r="H44" s="1217" t="s">
        <v>1456</v>
      </c>
      <c r="I44" s="1217"/>
      <c r="J44" s="1217" t="s">
        <v>939</v>
      </c>
      <c r="K44" s="1217"/>
    </row>
    <row r="45" spans="2:24" ht="33.75" customHeight="1" thickBot="1" x14ac:dyDescent="0.3">
      <c r="B45" s="1218" t="s">
        <v>1457</v>
      </c>
      <c r="C45" s="1218"/>
      <c r="D45" s="1219">
        <v>13</v>
      </c>
      <c r="E45" s="1219"/>
      <c r="F45" s="1217" t="s">
        <v>1458</v>
      </c>
      <c r="G45" s="1217"/>
      <c r="H45" s="1217" t="s">
        <v>1456</v>
      </c>
      <c r="I45" s="1217"/>
      <c r="J45" s="1217" t="s">
        <v>939</v>
      </c>
      <c r="K45" s="1217"/>
      <c r="O45" s="587"/>
    </row>
    <row r="46" spans="2:24" ht="28.5" customHeight="1" thickBot="1" x14ac:dyDescent="0.3">
      <c r="B46" s="1218" t="s">
        <v>1459</v>
      </c>
      <c r="C46" s="1218"/>
      <c r="D46" s="1219">
        <v>9</v>
      </c>
      <c r="E46" s="1219"/>
      <c r="F46" s="1217" t="s">
        <v>1458</v>
      </c>
      <c r="G46" s="1217"/>
      <c r="H46" s="1217" t="s">
        <v>1456</v>
      </c>
      <c r="I46" s="1217"/>
      <c r="J46" s="1217" t="s">
        <v>939</v>
      </c>
      <c r="K46" s="1217"/>
    </row>
    <row r="47" spans="2:24" ht="27" customHeight="1" thickBot="1" x14ac:dyDescent="0.3">
      <c r="B47" s="1218" t="s">
        <v>1460</v>
      </c>
      <c r="C47" s="1218"/>
      <c r="D47" s="1219">
        <v>10</v>
      </c>
      <c r="E47" s="1219"/>
      <c r="F47" s="1217" t="s">
        <v>1461</v>
      </c>
      <c r="G47" s="1217"/>
      <c r="H47" s="1217" t="s">
        <v>1456</v>
      </c>
      <c r="I47" s="1217"/>
      <c r="J47" s="1217" t="s">
        <v>939</v>
      </c>
      <c r="K47" s="1217"/>
      <c r="L47" s="587"/>
      <c r="M47" s="587"/>
      <c r="N47" s="587"/>
      <c r="R47" s="587"/>
      <c r="S47" s="587"/>
      <c r="T47" s="587"/>
    </row>
    <row r="48" spans="2:24" ht="29.25" customHeight="1" thickBot="1" x14ac:dyDescent="0.3">
      <c r="B48" s="1218" t="s">
        <v>1462</v>
      </c>
      <c r="C48" s="1218"/>
      <c r="D48" s="1219">
        <v>10</v>
      </c>
      <c r="E48" s="1219"/>
      <c r="F48" s="1217" t="s">
        <v>1461</v>
      </c>
      <c r="G48" s="1217"/>
      <c r="H48" s="1217" t="s">
        <v>1456</v>
      </c>
      <c r="I48" s="1217"/>
      <c r="J48" s="1217" t="s">
        <v>939</v>
      </c>
      <c r="K48" s="1217"/>
      <c r="L48" s="33"/>
    </row>
    <row r="49" spans="2:12" ht="18.75" customHeight="1" thickBot="1" x14ac:dyDescent="0.3">
      <c r="B49" s="1218" t="s">
        <v>1463</v>
      </c>
      <c r="C49" s="1218"/>
      <c r="D49" s="1219">
        <v>28</v>
      </c>
      <c r="E49" s="1219"/>
      <c r="F49" s="1217" t="s">
        <v>1461</v>
      </c>
      <c r="G49" s="1217"/>
      <c r="H49" s="1217" t="s">
        <v>1456</v>
      </c>
      <c r="I49" s="1217"/>
      <c r="J49" s="1217" t="s">
        <v>1464</v>
      </c>
      <c r="K49" s="1217"/>
      <c r="L49" s="33"/>
    </row>
    <row r="50" spans="2:12" ht="15.75" customHeight="1" thickBot="1" x14ac:dyDescent="0.3">
      <c r="B50" s="1218" t="s">
        <v>1465</v>
      </c>
      <c r="C50" s="1218"/>
      <c r="D50" s="1219">
        <v>9</v>
      </c>
      <c r="E50" s="1219"/>
      <c r="F50" s="1217" t="s">
        <v>1461</v>
      </c>
      <c r="G50" s="1217"/>
      <c r="H50" s="1217" t="s">
        <v>1456</v>
      </c>
      <c r="I50" s="1217"/>
      <c r="J50" s="1217" t="s">
        <v>1466</v>
      </c>
      <c r="K50" s="1217"/>
      <c r="L50" s="33"/>
    </row>
    <row r="51" spans="2:12" ht="26.25" customHeight="1" thickBot="1" x14ac:dyDescent="0.3">
      <c r="B51" s="1218" t="s">
        <v>1467</v>
      </c>
      <c r="C51" s="1218"/>
      <c r="D51" s="1219">
        <v>10</v>
      </c>
      <c r="E51" s="1219"/>
      <c r="F51" s="1217" t="s">
        <v>1461</v>
      </c>
      <c r="G51" s="1217"/>
      <c r="H51" s="1217" t="s">
        <v>1456</v>
      </c>
      <c r="I51" s="1217"/>
      <c r="J51" s="1217" t="s">
        <v>960</v>
      </c>
      <c r="K51" s="1217"/>
      <c r="L51" s="33"/>
    </row>
    <row r="52" spans="2:12" ht="23.25" customHeight="1" thickBot="1" x14ac:dyDescent="0.3">
      <c r="B52" s="1218" t="s">
        <v>1468</v>
      </c>
      <c r="C52" s="1218"/>
      <c r="D52" s="1219">
        <v>10</v>
      </c>
      <c r="E52" s="1219"/>
      <c r="F52" s="1217" t="s">
        <v>1461</v>
      </c>
      <c r="G52" s="1217"/>
      <c r="H52" s="1217" t="s">
        <v>1456</v>
      </c>
      <c r="I52" s="1217"/>
      <c r="J52" s="1217" t="s">
        <v>1130</v>
      </c>
      <c r="K52" s="1217"/>
    </row>
    <row r="53" spans="2:12" ht="24.75" customHeight="1" thickBot="1" x14ac:dyDescent="0.3">
      <c r="B53" s="1218" t="s">
        <v>1469</v>
      </c>
      <c r="C53" s="1218"/>
      <c r="D53" s="1219">
        <v>29</v>
      </c>
      <c r="E53" s="1219"/>
      <c r="F53" s="1217" t="s">
        <v>1458</v>
      </c>
      <c r="G53" s="1217"/>
      <c r="H53" s="1217" t="s">
        <v>1456</v>
      </c>
      <c r="I53" s="1217"/>
      <c r="J53" s="1217" t="s">
        <v>939</v>
      </c>
      <c r="K53" s="1217"/>
    </row>
    <row r="54" spans="2:12" ht="36" customHeight="1" thickBot="1" x14ac:dyDescent="0.3">
      <c r="B54" s="1218" t="s">
        <v>1470</v>
      </c>
      <c r="C54" s="1218"/>
      <c r="D54" s="1219">
        <v>10</v>
      </c>
      <c r="E54" s="1219"/>
      <c r="F54" s="1217" t="s">
        <v>1458</v>
      </c>
      <c r="G54" s="1217"/>
      <c r="H54" s="1217" t="s">
        <v>1456</v>
      </c>
      <c r="I54" s="1217"/>
      <c r="J54" s="1217" t="s">
        <v>1131</v>
      </c>
      <c r="K54" s="1217"/>
    </row>
    <row r="55" spans="2:12" ht="23.25" customHeight="1" thickBot="1" x14ac:dyDescent="0.3">
      <c r="B55" s="1218" t="s">
        <v>1471</v>
      </c>
      <c r="C55" s="1218"/>
      <c r="D55" s="1219">
        <v>10</v>
      </c>
      <c r="E55" s="1219"/>
      <c r="F55" s="1217" t="s">
        <v>1458</v>
      </c>
      <c r="G55" s="1217"/>
      <c r="H55" s="1217" t="s">
        <v>1456</v>
      </c>
      <c r="I55" s="1217"/>
      <c r="J55" s="1217" t="s">
        <v>939</v>
      </c>
      <c r="K55" s="1217"/>
    </row>
    <row r="56" spans="2:12" ht="26.25" customHeight="1" thickBot="1" x14ac:dyDescent="0.3">
      <c r="B56" s="1218" t="s">
        <v>1472</v>
      </c>
      <c r="C56" s="1218"/>
      <c r="D56" s="1219">
        <v>26</v>
      </c>
      <c r="E56" s="1219"/>
      <c r="F56" s="1217" t="s">
        <v>1461</v>
      </c>
      <c r="G56" s="1217"/>
      <c r="H56" s="1217" t="s">
        <v>1456</v>
      </c>
      <c r="I56" s="1217"/>
      <c r="J56" s="1217" t="s">
        <v>939</v>
      </c>
      <c r="K56" s="1217"/>
    </row>
    <row r="57" spans="2:12" ht="26.25" customHeight="1" thickBot="1" x14ac:dyDescent="0.3">
      <c r="B57" s="1218" t="s">
        <v>1473</v>
      </c>
      <c r="C57" s="1218"/>
      <c r="D57" s="1219">
        <v>10</v>
      </c>
      <c r="E57" s="1219"/>
      <c r="F57" s="1217" t="s">
        <v>1458</v>
      </c>
      <c r="G57" s="1217"/>
      <c r="H57" s="1217" t="s">
        <v>1456</v>
      </c>
      <c r="I57" s="1217"/>
      <c r="J57" s="1217" t="s">
        <v>1474</v>
      </c>
      <c r="K57" s="1217"/>
    </row>
    <row r="58" spans="2:12" ht="18" customHeight="1" thickBot="1" x14ac:dyDescent="0.3">
      <c r="B58" s="1218" t="s">
        <v>1475</v>
      </c>
      <c r="C58" s="1218"/>
      <c r="D58" s="1219">
        <v>10</v>
      </c>
      <c r="E58" s="1219"/>
      <c r="F58" s="1217" t="s">
        <v>1458</v>
      </c>
      <c r="G58" s="1217"/>
      <c r="H58" s="1217" t="s">
        <v>1456</v>
      </c>
      <c r="I58" s="1217"/>
      <c r="J58" s="1217" t="s">
        <v>1476</v>
      </c>
      <c r="K58" s="1217"/>
    </row>
    <row r="59" spans="2:12" ht="18.75" customHeight="1" thickBot="1" x14ac:dyDescent="0.3">
      <c r="B59" s="1218" t="s">
        <v>1477</v>
      </c>
      <c r="C59" s="1218"/>
      <c r="D59" s="1219">
        <v>14</v>
      </c>
      <c r="E59" s="1219"/>
      <c r="F59" s="1217" t="s">
        <v>1458</v>
      </c>
      <c r="G59" s="1217"/>
      <c r="H59" s="1217" t="s">
        <v>1456</v>
      </c>
      <c r="I59" s="1217"/>
      <c r="J59" s="1217" t="s">
        <v>960</v>
      </c>
      <c r="K59" s="1217"/>
    </row>
    <row r="60" spans="2:12" ht="27" customHeight="1" thickBot="1" x14ac:dyDescent="0.3">
      <c r="B60" s="1218" t="s">
        <v>1478</v>
      </c>
      <c r="C60" s="1218"/>
      <c r="D60" s="1219">
        <v>9</v>
      </c>
      <c r="E60" s="1219"/>
      <c r="F60" s="1217" t="s">
        <v>1455</v>
      </c>
      <c r="G60" s="1217"/>
      <c r="H60" s="1217" t="s">
        <v>1456</v>
      </c>
      <c r="I60" s="1217"/>
      <c r="J60" s="1217" t="s">
        <v>936</v>
      </c>
      <c r="K60" s="1217"/>
    </row>
    <row r="61" spans="2:12" ht="25.5" customHeight="1" thickBot="1" x14ac:dyDescent="0.3">
      <c r="B61" s="1218" t="s">
        <v>1479</v>
      </c>
      <c r="C61" s="1218"/>
      <c r="D61" s="1219">
        <v>11</v>
      </c>
      <c r="E61" s="1219"/>
      <c r="F61" s="1217" t="s">
        <v>1480</v>
      </c>
      <c r="G61" s="1217"/>
      <c r="H61" s="1217" t="s">
        <v>1456</v>
      </c>
      <c r="I61" s="1217"/>
      <c r="J61" s="1217" t="s">
        <v>939</v>
      </c>
      <c r="K61" s="1217"/>
    </row>
    <row r="62" spans="2:12" ht="18.75" customHeight="1" thickBot="1" x14ac:dyDescent="0.3">
      <c r="B62" s="1218" t="s">
        <v>1481</v>
      </c>
      <c r="C62" s="1218"/>
      <c r="D62" s="1219">
        <v>2</v>
      </c>
      <c r="E62" s="1219"/>
      <c r="F62" s="1217" t="s">
        <v>1482</v>
      </c>
      <c r="G62" s="1217"/>
      <c r="H62" s="1217" t="s">
        <v>1456</v>
      </c>
      <c r="I62" s="1217"/>
      <c r="J62" s="1217" t="s">
        <v>936</v>
      </c>
      <c r="K62" s="1217"/>
    </row>
    <row r="63" spans="2:12" ht="18.75" customHeight="1" thickBot="1" x14ac:dyDescent="0.3">
      <c r="B63" s="1218" t="s">
        <v>1483</v>
      </c>
      <c r="C63" s="1218"/>
      <c r="D63" s="1219">
        <v>4</v>
      </c>
      <c r="E63" s="1219"/>
      <c r="F63" s="1217" t="s">
        <v>1480</v>
      </c>
      <c r="G63" s="1217"/>
      <c r="H63" s="1217" t="s">
        <v>1456</v>
      </c>
      <c r="I63" s="1217"/>
      <c r="J63" s="1217" t="s">
        <v>936</v>
      </c>
      <c r="K63" s="1217"/>
    </row>
    <row r="64" spans="2:12" ht="31.5" customHeight="1" thickBot="1" x14ac:dyDescent="0.3">
      <c r="B64" s="1218" t="s">
        <v>1484</v>
      </c>
      <c r="C64" s="1218"/>
      <c r="D64" s="1219">
        <v>2</v>
      </c>
      <c r="E64" s="1219"/>
      <c r="F64" s="1217" t="s">
        <v>1480</v>
      </c>
      <c r="G64" s="1217"/>
      <c r="H64" s="1217" t="s">
        <v>1456</v>
      </c>
      <c r="I64" s="1217"/>
      <c r="J64" s="1217" t="s">
        <v>1474</v>
      </c>
      <c r="K64" s="1217"/>
    </row>
    <row r="65" spans="2:11" ht="33" customHeight="1" thickBot="1" x14ac:dyDescent="0.3">
      <c r="B65" s="1218" t="s">
        <v>1485</v>
      </c>
      <c r="C65" s="1218"/>
      <c r="D65" s="1219">
        <v>6</v>
      </c>
      <c r="E65" s="1219"/>
      <c r="F65" s="1217" t="s">
        <v>1458</v>
      </c>
      <c r="G65" s="1217"/>
      <c r="H65" s="1217" t="s">
        <v>1456</v>
      </c>
      <c r="I65" s="1217"/>
      <c r="J65" s="1217" t="s">
        <v>936</v>
      </c>
      <c r="K65" s="1217"/>
    </row>
    <row r="66" spans="2:11" ht="24" customHeight="1" thickBot="1" x14ac:dyDescent="0.3">
      <c r="B66" s="1218" t="s">
        <v>1486</v>
      </c>
      <c r="C66" s="1218"/>
      <c r="D66" s="1219">
        <v>1</v>
      </c>
      <c r="E66" s="1219"/>
      <c r="F66" s="1217" t="s">
        <v>1458</v>
      </c>
      <c r="G66" s="1217"/>
      <c r="H66" s="1217" t="s">
        <v>1456</v>
      </c>
      <c r="I66" s="1217"/>
      <c r="J66" s="1217" t="s">
        <v>91</v>
      </c>
      <c r="K66" s="1217"/>
    </row>
    <row r="67" spans="2:11" ht="25.5" customHeight="1" thickBot="1" x14ac:dyDescent="0.3">
      <c r="B67" s="1218" t="s">
        <v>1487</v>
      </c>
      <c r="C67" s="1218"/>
      <c r="D67" s="1219">
        <v>1</v>
      </c>
      <c r="E67" s="1219"/>
      <c r="F67" s="1217" t="s">
        <v>1458</v>
      </c>
      <c r="G67" s="1217"/>
      <c r="H67" s="1217" t="s">
        <v>1456</v>
      </c>
      <c r="I67" s="1217"/>
      <c r="J67" s="1217" t="s">
        <v>91</v>
      </c>
      <c r="K67" s="1217"/>
    </row>
    <row r="68" spans="2:11" ht="24.75" customHeight="1" thickBot="1" x14ac:dyDescent="0.3">
      <c r="B68" s="1218" t="s">
        <v>1488</v>
      </c>
      <c r="C68" s="1218"/>
      <c r="D68" s="1219">
        <v>1</v>
      </c>
      <c r="E68" s="1219"/>
      <c r="F68" s="1217" t="s">
        <v>1458</v>
      </c>
      <c r="G68" s="1217"/>
      <c r="H68" s="1217" t="s">
        <v>1456</v>
      </c>
      <c r="I68" s="1217"/>
      <c r="J68" s="1217" t="s">
        <v>91</v>
      </c>
      <c r="K68" s="1217"/>
    </row>
    <row r="69" spans="2:11" ht="25.5" customHeight="1" thickBot="1" x14ac:dyDescent="0.3">
      <c r="B69" s="1218" t="s">
        <v>1489</v>
      </c>
      <c r="C69" s="1218"/>
      <c r="D69" s="1219">
        <v>1</v>
      </c>
      <c r="E69" s="1219"/>
      <c r="F69" s="1217" t="s">
        <v>1458</v>
      </c>
      <c r="G69" s="1217"/>
      <c r="H69" s="1217" t="s">
        <v>1456</v>
      </c>
      <c r="I69" s="1217"/>
      <c r="J69" s="1217" t="s">
        <v>91</v>
      </c>
      <c r="K69" s="1217"/>
    </row>
    <row r="70" spans="2:11" ht="26.25" customHeight="1" thickBot="1" x14ac:dyDescent="0.3">
      <c r="B70" s="1218" t="s">
        <v>1490</v>
      </c>
      <c r="C70" s="1218"/>
      <c r="D70" s="1219">
        <v>1</v>
      </c>
      <c r="E70" s="1219"/>
      <c r="F70" s="1217" t="s">
        <v>1458</v>
      </c>
      <c r="G70" s="1217"/>
      <c r="H70" s="1217" t="s">
        <v>1456</v>
      </c>
      <c r="I70" s="1217"/>
      <c r="J70" s="1217" t="s">
        <v>91</v>
      </c>
      <c r="K70" s="1217"/>
    </row>
    <row r="71" spans="2:11" ht="18.75" customHeight="1" thickBot="1" x14ac:dyDescent="0.3">
      <c r="B71" s="1218" t="s">
        <v>1491</v>
      </c>
      <c r="C71" s="1218"/>
      <c r="D71" s="1219">
        <v>4</v>
      </c>
      <c r="E71" s="1219"/>
      <c r="F71" s="1217" t="s">
        <v>1458</v>
      </c>
      <c r="G71" s="1217"/>
      <c r="H71" s="1217" t="s">
        <v>1456</v>
      </c>
      <c r="I71" s="1217"/>
      <c r="J71" s="1217" t="s">
        <v>91</v>
      </c>
      <c r="K71" s="1217"/>
    </row>
    <row r="72" spans="2:11" ht="18.75" customHeight="1" thickBot="1" x14ac:dyDescent="0.3">
      <c r="B72" s="1218" t="s">
        <v>1492</v>
      </c>
      <c r="C72" s="1218"/>
      <c r="D72" s="1219">
        <v>4</v>
      </c>
      <c r="E72" s="1219"/>
      <c r="F72" s="1217" t="s">
        <v>1458</v>
      </c>
      <c r="G72" s="1217"/>
      <c r="H72" s="1217" t="s">
        <v>1456</v>
      </c>
      <c r="I72" s="1217"/>
      <c r="J72" s="1217" t="s">
        <v>91</v>
      </c>
      <c r="K72" s="1217"/>
    </row>
    <row r="73" spans="2:11" ht="18.75" customHeight="1" thickBot="1" x14ac:dyDescent="0.3">
      <c r="B73" s="1218" t="s">
        <v>1493</v>
      </c>
      <c r="C73" s="1218"/>
      <c r="D73" s="1219">
        <v>4</v>
      </c>
      <c r="E73" s="1219"/>
      <c r="F73" s="1217" t="s">
        <v>1458</v>
      </c>
      <c r="G73" s="1217"/>
      <c r="H73" s="1217" t="s">
        <v>1456</v>
      </c>
      <c r="I73" s="1217"/>
      <c r="J73" s="1217" t="s">
        <v>91</v>
      </c>
      <c r="K73" s="1217"/>
    </row>
    <row r="74" spans="2:11" ht="18.75" customHeight="1" thickBot="1" x14ac:dyDescent="0.3">
      <c r="B74" s="1218" t="s">
        <v>1496</v>
      </c>
      <c r="C74" s="1218" t="s">
        <v>1496</v>
      </c>
      <c r="D74" s="1219">
        <v>39</v>
      </c>
      <c r="E74" s="1219">
        <v>39</v>
      </c>
      <c r="F74" s="1217" t="s">
        <v>1497</v>
      </c>
      <c r="G74" s="1217" t="s">
        <v>1497</v>
      </c>
      <c r="H74" s="1217" t="s">
        <v>1456</v>
      </c>
      <c r="I74" s="1217"/>
      <c r="J74" s="1217" t="s">
        <v>1498</v>
      </c>
      <c r="K74" s="1217" t="s">
        <v>1498</v>
      </c>
    </row>
    <row r="75" spans="2:11" ht="18.75" customHeight="1" thickBot="1" x14ac:dyDescent="0.3">
      <c r="B75" s="1218" t="s">
        <v>1499</v>
      </c>
      <c r="C75" s="1218" t="s">
        <v>1499</v>
      </c>
      <c r="D75" s="1219">
        <v>12</v>
      </c>
      <c r="E75" s="1219">
        <v>12</v>
      </c>
      <c r="F75" s="1217" t="s">
        <v>1497</v>
      </c>
      <c r="G75" s="1217" t="s">
        <v>1497</v>
      </c>
      <c r="H75" s="1217" t="s">
        <v>1456</v>
      </c>
      <c r="I75" s="1217"/>
      <c r="J75" s="1217" t="s">
        <v>1500</v>
      </c>
      <c r="K75" s="1217" t="s">
        <v>1500</v>
      </c>
    </row>
    <row r="76" spans="2:11" ht="29.25" customHeight="1" thickBot="1" x14ac:dyDescent="0.3">
      <c r="B76" s="1218" t="s">
        <v>1501</v>
      </c>
      <c r="C76" s="1218" t="s">
        <v>1501</v>
      </c>
      <c r="D76" s="1219">
        <v>12</v>
      </c>
      <c r="E76" s="1219">
        <v>12</v>
      </c>
      <c r="F76" s="1217" t="s">
        <v>1497</v>
      </c>
      <c r="G76" s="1217" t="s">
        <v>1497</v>
      </c>
      <c r="H76" s="1217" t="s">
        <v>1456</v>
      </c>
      <c r="I76" s="1217"/>
      <c r="J76" s="1217" t="s">
        <v>1502</v>
      </c>
      <c r="K76" s="1217" t="s">
        <v>1502</v>
      </c>
    </row>
    <row r="77" spans="2:11" ht="29.25" customHeight="1" thickBot="1" x14ac:dyDescent="0.3">
      <c r="B77" s="1218" t="s">
        <v>1503</v>
      </c>
      <c r="C77" s="1218" t="s">
        <v>1503</v>
      </c>
      <c r="D77" s="1219">
        <v>8</v>
      </c>
      <c r="E77" s="1219">
        <v>8</v>
      </c>
      <c r="F77" s="1217" t="s">
        <v>1497</v>
      </c>
      <c r="G77" s="1217" t="s">
        <v>1497</v>
      </c>
      <c r="H77" s="1217" t="s">
        <v>1456</v>
      </c>
      <c r="I77" s="1217"/>
      <c r="J77" s="1217" t="s">
        <v>1504</v>
      </c>
      <c r="K77" s="1217" t="s">
        <v>1504</v>
      </c>
    </row>
    <row r="78" spans="2:11" ht="18.75" customHeight="1" thickBot="1" x14ac:dyDescent="0.3">
      <c r="B78" s="1218" t="s">
        <v>1505</v>
      </c>
      <c r="C78" s="1218" t="s">
        <v>1505</v>
      </c>
      <c r="D78" s="1219">
        <v>8</v>
      </c>
      <c r="E78" s="1219">
        <v>8</v>
      </c>
      <c r="F78" s="1217" t="s">
        <v>1497</v>
      </c>
      <c r="G78" s="1217" t="s">
        <v>1497</v>
      </c>
      <c r="H78" s="1217" t="s">
        <v>1456</v>
      </c>
      <c r="I78" s="1217"/>
      <c r="J78" s="1217" t="s">
        <v>1506</v>
      </c>
      <c r="K78" s="1217" t="s">
        <v>1506</v>
      </c>
    </row>
    <row r="79" spans="2:11" ht="27" customHeight="1" thickBot="1" x14ac:dyDescent="0.3">
      <c r="B79" s="1218" t="s">
        <v>1507</v>
      </c>
      <c r="C79" s="1218" t="s">
        <v>1507</v>
      </c>
      <c r="D79" s="1219">
        <v>7</v>
      </c>
      <c r="E79" s="1219">
        <v>7</v>
      </c>
      <c r="F79" s="1217" t="s">
        <v>1497</v>
      </c>
      <c r="G79" s="1217" t="s">
        <v>1497</v>
      </c>
      <c r="H79" s="1217" t="s">
        <v>1456</v>
      </c>
      <c r="I79" s="1217"/>
      <c r="J79" s="1217" t="s">
        <v>1508</v>
      </c>
      <c r="K79" s="1217" t="s">
        <v>1508</v>
      </c>
    </row>
    <row r="80" spans="2:11" ht="18.75" customHeight="1" thickBot="1" x14ac:dyDescent="0.3">
      <c r="B80" s="1218" t="s">
        <v>1509</v>
      </c>
      <c r="C80" s="1218" t="s">
        <v>1509</v>
      </c>
      <c r="D80" s="1219">
        <v>6</v>
      </c>
      <c r="E80" s="1219">
        <v>6</v>
      </c>
      <c r="F80" s="1217" t="s">
        <v>1497</v>
      </c>
      <c r="G80" s="1217" t="s">
        <v>1497</v>
      </c>
      <c r="H80" s="1217" t="s">
        <v>1456</v>
      </c>
      <c r="I80" s="1217"/>
      <c r="J80" s="1217" t="s">
        <v>1506</v>
      </c>
      <c r="K80" s="1217" t="s">
        <v>1506</v>
      </c>
    </row>
    <row r="81" spans="2:11" ht="30" customHeight="1" thickBot="1" x14ac:dyDescent="0.3">
      <c r="B81" s="1218" t="s">
        <v>1510</v>
      </c>
      <c r="C81" s="1218" t="s">
        <v>1510</v>
      </c>
      <c r="D81" s="1219">
        <v>5</v>
      </c>
      <c r="E81" s="1219">
        <v>5</v>
      </c>
      <c r="F81" s="1217" t="s">
        <v>1497</v>
      </c>
      <c r="G81" s="1217" t="s">
        <v>1497</v>
      </c>
      <c r="H81" s="1217" t="s">
        <v>1456</v>
      </c>
      <c r="I81" s="1217"/>
      <c r="J81" s="1217" t="s">
        <v>1511</v>
      </c>
      <c r="K81" s="1217" t="s">
        <v>1511</v>
      </c>
    </row>
    <row r="82" spans="2:11" ht="18.75" customHeight="1" thickBot="1" x14ac:dyDescent="0.3">
      <c r="B82" s="1218" t="s">
        <v>1512</v>
      </c>
      <c r="C82" s="1218" t="s">
        <v>1512</v>
      </c>
      <c r="D82" s="1219">
        <v>5</v>
      </c>
      <c r="E82" s="1219">
        <v>5</v>
      </c>
      <c r="F82" s="1217" t="s">
        <v>1497</v>
      </c>
      <c r="G82" s="1217" t="s">
        <v>1497</v>
      </c>
      <c r="H82" s="1217" t="s">
        <v>1456</v>
      </c>
      <c r="I82" s="1217"/>
      <c r="J82" s="1217" t="s">
        <v>1500</v>
      </c>
      <c r="K82" s="1217" t="s">
        <v>1500</v>
      </c>
    </row>
    <row r="83" spans="2:11" ht="28.5" customHeight="1" thickBot="1" x14ac:dyDescent="0.3">
      <c r="B83" s="1218" t="s">
        <v>1513</v>
      </c>
      <c r="C83" s="1218" t="s">
        <v>1513</v>
      </c>
      <c r="D83" s="1219">
        <v>5</v>
      </c>
      <c r="E83" s="1219">
        <v>5</v>
      </c>
      <c r="F83" s="1217" t="s">
        <v>1497</v>
      </c>
      <c r="G83" s="1217" t="s">
        <v>1497</v>
      </c>
      <c r="H83" s="1217" t="s">
        <v>1456</v>
      </c>
      <c r="I83" s="1217"/>
      <c r="J83" s="1217" t="s">
        <v>961</v>
      </c>
      <c r="K83" s="1217" t="s">
        <v>961</v>
      </c>
    </row>
    <row r="84" spans="2:11" ht="18.75" customHeight="1" thickBot="1" x14ac:dyDescent="0.3">
      <c r="B84" s="1218" t="s">
        <v>1514</v>
      </c>
      <c r="C84" s="1218" t="s">
        <v>1514</v>
      </c>
      <c r="D84" s="1219">
        <v>5</v>
      </c>
      <c r="E84" s="1219">
        <v>5</v>
      </c>
      <c r="F84" s="1217" t="s">
        <v>1497</v>
      </c>
      <c r="G84" s="1217" t="s">
        <v>1497</v>
      </c>
      <c r="H84" s="1217" t="s">
        <v>1456</v>
      </c>
      <c r="I84" s="1217"/>
      <c r="J84" s="1217" t="s">
        <v>1506</v>
      </c>
      <c r="K84" s="1217" t="s">
        <v>1506</v>
      </c>
    </row>
    <row r="85" spans="2:11" ht="18.75" customHeight="1" thickBot="1" x14ac:dyDescent="0.3">
      <c r="B85" s="1218" t="s">
        <v>1515</v>
      </c>
      <c r="C85" s="1218" t="s">
        <v>1515</v>
      </c>
      <c r="D85" s="1219">
        <v>4</v>
      </c>
      <c r="E85" s="1219">
        <v>4</v>
      </c>
      <c r="F85" s="1217" t="s">
        <v>1497</v>
      </c>
      <c r="G85" s="1217" t="s">
        <v>1497</v>
      </c>
      <c r="H85" s="1217" t="s">
        <v>1456</v>
      </c>
      <c r="I85" s="1217"/>
      <c r="J85" s="1217" t="s">
        <v>1516</v>
      </c>
      <c r="K85" s="1217" t="s">
        <v>1516</v>
      </c>
    </row>
    <row r="86" spans="2:11" ht="18.75" customHeight="1" thickBot="1" x14ac:dyDescent="0.3">
      <c r="B86" s="1218" t="s">
        <v>1517</v>
      </c>
      <c r="C86" s="1218" t="s">
        <v>1517</v>
      </c>
      <c r="D86" s="1219">
        <v>4</v>
      </c>
      <c r="E86" s="1219">
        <v>4</v>
      </c>
      <c r="F86" s="1217" t="s">
        <v>1497</v>
      </c>
      <c r="G86" s="1217" t="s">
        <v>1497</v>
      </c>
      <c r="H86" s="1217" t="s">
        <v>1456</v>
      </c>
      <c r="I86" s="1217"/>
      <c r="J86" s="1217" t="s">
        <v>1518</v>
      </c>
      <c r="K86" s="1217" t="s">
        <v>1518</v>
      </c>
    </row>
    <row r="87" spans="2:11" ht="27" customHeight="1" thickBot="1" x14ac:dyDescent="0.3">
      <c r="B87" s="1218" t="s">
        <v>1519</v>
      </c>
      <c r="C87" s="1218" t="s">
        <v>1519</v>
      </c>
      <c r="D87" s="1219">
        <v>4</v>
      </c>
      <c r="E87" s="1219">
        <v>4</v>
      </c>
      <c r="F87" s="1217" t="s">
        <v>1497</v>
      </c>
      <c r="G87" s="1217" t="s">
        <v>1497</v>
      </c>
      <c r="H87" s="1217" t="s">
        <v>1456</v>
      </c>
      <c r="I87" s="1217"/>
      <c r="J87" s="1217" t="s">
        <v>1520</v>
      </c>
      <c r="K87" s="1217" t="s">
        <v>1520</v>
      </c>
    </row>
    <row r="88" spans="2:11" ht="18.75" customHeight="1" thickBot="1" x14ac:dyDescent="0.3">
      <c r="B88" s="1218" t="s">
        <v>1521</v>
      </c>
      <c r="C88" s="1218" t="s">
        <v>1521</v>
      </c>
      <c r="D88" s="1219">
        <v>4</v>
      </c>
      <c r="E88" s="1219">
        <v>4</v>
      </c>
      <c r="F88" s="1217" t="s">
        <v>1497</v>
      </c>
      <c r="G88" s="1217" t="s">
        <v>1497</v>
      </c>
      <c r="H88" s="1217" t="s">
        <v>1456</v>
      </c>
      <c r="I88" s="1217"/>
      <c r="J88" s="1217" t="s">
        <v>1522</v>
      </c>
      <c r="K88" s="1217" t="s">
        <v>1522</v>
      </c>
    </row>
    <row r="89" spans="2:11" ht="18.75" customHeight="1" thickBot="1" x14ac:dyDescent="0.3">
      <c r="B89" s="1218" t="s">
        <v>1523</v>
      </c>
      <c r="C89" s="1218" t="s">
        <v>1523</v>
      </c>
      <c r="D89" s="1219">
        <v>4</v>
      </c>
      <c r="E89" s="1219">
        <v>4</v>
      </c>
      <c r="F89" s="1217" t="s">
        <v>1497</v>
      </c>
      <c r="G89" s="1217" t="s">
        <v>1497</v>
      </c>
      <c r="H89" s="1217" t="s">
        <v>1456</v>
      </c>
      <c r="I89" s="1217"/>
      <c r="J89" s="1217" t="s">
        <v>1524</v>
      </c>
      <c r="K89" s="1217" t="s">
        <v>1524</v>
      </c>
    </row>
    <row r="90" spans="2:11" ht="18.75" customHeight="1" thickBot="1" x14ac:dyDescent="0.3">
      <c r="B90" s="1218" t="s">
        <v>1525</v>
      </c>
      <c r="C90" s="1218" t="s">
        <v>1525</v>
      </c>
      <c r="D90" s="1219">
        <v>4</v>
      </c>
      <c r="E90" s="1219">
        <v>4</v>
      </c>
      <c r="F90" s="1217" t="s">
        <v>1497</v>
      </c>
      <c r="G90" s="1217" t="s">
        <v>1497</v>
      </c>
      <c r="H90" s="1217" t="s">
        <v>1456</v>
      </c>
      <c r="I90" s="1217"/>
      <c r="J90" s="1217" t="s">
        <v>1526</v>
      </c>
      <c r="K90" s="1217" t="s">
        <v>1526</v>
      </c>
    </row>
    <row r="91" spans="2:11" ht="18.75" customHeight="1" thickBot="1" x14ac:dyDescent="0.3">
      <c r="B91" s="1218" t="s">
        <v>1527</v>
      </c>
      <c r="C91" s="1218" t="s">
        <v>1527</v>
      </c>
      <c r="D91" s="1219">
        <v>4</v>
      </c>
      <c r="E91" s="1219">
        <v>4</v>
      </c>
      <c r="F91" s="1217" t="s">
        <v>1497</v>
      </c>
      <c r="G91" s="1217" t="s">
        <v>1497</v>
      </c>
      <c r="H91" s="1217" t="s">
        <v>1456</v>
      </c>
      <c r="I91" s="1217"/>
      <c r="J91" s="1217" t="s">
        <v>1506</v>
      </c>
      <c r="K91" s="1217" t="s">
        <v>1506</v>
      </c>
    </row>
    <row r="92" spans="2:11" ht="18.75" customHeight="1" thickBot="1" x14ac:dyDescent="0.3">
      <c r="B92" s="1218" t="s">
        <v>1528</v>
      </c>
      <c r="C92" s="1218" t="s">
        <v>1528</v>
      </c>
      <c r="D92" s="1219">
        <v>3</v>
      </c>
      <c r="E92" s="1219">
        <v>3</v>
      </c>
      <c r="F92" s="1217" t="s">
        <v>1497</v>
      </c>
      <c r="G92" s="1217" t="s">
        <v>1497</v>
      </c>
      <c r="H92" s="1217" t="s">
        <v>1456</v>
      </c>
      <c r="I92" s="1217"/>
      <c r="J92" s="1217" t="s">
        <v>1511</v>
      </c>
      <c r="K92" s="1217" t="s">
        <v>1511</v>
      </c>
    </row>
    <row r="93" spans="2:11" ht="27" customHeight="1" thickBot="1" x14ac:dyDescent="0.3">
      <c r="B93" s="1218" t="s">
        <v>1911</v>
      </c>
      <c r="C93" s="1218" t="s">
        <v>1529</v>
      </c>
      <c r="D93" s="1219">
        <v>3</v>
      </c>
      <c r="E93" s="1219">
        <v>3</v>
      </c>
      <c r="F93" s="1217" t="s">
        <v>1497</v>
      </c>
      <c r="G93" s="1217" t="s">
        <v>1497</v>
      </c>
      <c r="H93" s="1217" t="s">
        <v>1456</v>
      </c>
      <c r="I93" s="1217"/>
      <c r="J93" s="1217" t="s">
        <v>1530</v>
      </c>
      <c r="K93" s="1217" t="s">
        <v>1530</v>
      </c>
    </row>
    <row r="94" spans="2:11" ht="30.75" customHeight="1" thickBot="1" x14ac:dyDescent="0.3">
      <c r="B94" s="1218" t="s">
        <v>1531</v>
      </c>
      <c r="C94" s="1218" t="s">
        <v>1531</v>
      </c>
      <c r="D94" s="1219">
        <v>3</v>
      </c>
      <c r="E94" s="1219">
        <v>3</v>
      </c>
      <c r="F94" s="1217" t="s">
        <v>1497</v>
      </c>
      <c r="G94" s="1217" t="s">
        <v>1497</v>
      </c>
      <c r="H94" s="1217" t="s">
        <v>1456</v>
      </c>
      <c r="I94" s="1217"/>
      <c r="J94" s="1217" t="s">
        <v>1532</v>
      </c>
      <c r="K94" s="1217" t="s">
        <v>1532</v>
      </c>
    </row>
    <row r="95" spans="2:11" ht="18.75" customHeight="1" thickBot="1" x14ac:dyDescent="0.3">
      <c r="B95" s="1218" t="s">
        <v>1912</v>
      </c>
      <c r="C95" s="1218" t="s">
        <v>1533</v>
      </c>
      <c r="D95" s="1219">
        <v>3</v>
      </c>
      <c r="E95" s="1219">
        <v>3</v>
      </c>
      <c r="F95" s="1217" t="s">
        <v>1497</v>
      </c>
      <c r="G95" s="1217" t="s">
        <v>1497</v>
      </c>
      <c r="H95" s="1217" t="s">
        <v>1456</v>
      </c>
      <c r="I95" s="1217"/>
      <c r="J95" s="1217" t="s">
        <v>1534</v>
      </c>
      <c r="K95" s="1217" t="s">
        <v>1534</v>
      </c>
    </row>
    <row r="96" spans="2:11" ht="18.75" customHeight="1" thickBot="1" x14ac:dyDescent="0.3">
      <c r="B96" s="1218" t="s">
        <v>1535</v>
      </c>
      <c r="C96" s="1218" t="s">
        <v>1535</v>
      </c>
      <c r="D96" s="1219">
        <v>3</v>
      </c>
      <c r="E96" s="1219">
        <v>3</v>
      </c>
      <c r="F96" s="1217" t="s">
        <v>1497</v>
      </c>
      <c r="G96" s="1217" t="s">
        <v>1497</v>
      </c>
      <c r="H96" s="1217" t="s">
        <v>1456</v>
      </c>
      <c r="I96" s="1217"/>
      <c r="J96" s="1217" t="s">
        <v>1536</v>
      </c>
      <c r="K96" s="1217" t="s">
        <v>1536</v>
      </c>
    </row>
    <row r="97" spans="2:11" ht="18.75" customHeight="1" thickBot="1" x14ac:dyDescent="0.3">
      <c r="B97" s="1218" t="s">
        <v>1537</v>
      </c>
      <c r="C97" s="1218" t="s">
        <v>1537</v>
      </c>
      <c r="D97" s="1219">
        <v>3</v>
      </c>
      <c r="E97" s="1219">
        <v>3</v>
      </c>
      <c r="F97" s="1217" t="s">
        <v>1497</v>
      </c>
      <c r="G97" s="1217" t="s">
        <v>1497</v>
      </c>
      <c r="H97" s="1217" t="s">
        <v>1456</v>
      </c>
      <c r="I97" s="1217"/>
      <c r="J97" s="1217" t="s">
        <v>961</v>
      </c>
      <c r="K97" s="1217" t="s">
        <v>961</v>
      </c>
    </row>
    <row r="98" spans="2:11" ht="18.75" customHeight="1" thickBot="1" x14ac:dyDescent="0.3">
      <c r="B98" s="1218" t="s">
        <v>1538</v>
      </c>
      <c r="C98" s="1218" t="s">
        <v>1538</v>
      </c>
      <c r="D98" s="1219">
        <v>3</v>
      </c>
      <c r="E98" s="1219">
        <v>3</v>
      </c>
      <c r="F98" s="1217" t="s">
        <v>1497</v>
      </c>
      <c r="G98" s="1217" t="s">
        <v>1497</v>
      </c>
      <c r="H98" s="1217" t="s">
        <v>1456</v>
      </c>
      <c r="I98" s="1217"/>
      <c r="J98" s="1217" t="s">
        <v>961</v>
      </c>
      <c r="K98" s="1217" t="s">
        <v>961</v>
      </c>
    </row>
    <row r="99" spans="2:11" ht="31.5" customHeight="1" thickBot="1" x14ac:dyDescent="0.3">
      <c r="B99" s="1218" t="s">
        <v>1913</v>
      </c>
      <c r="C99" s="1218" t="s">
        <v>1539</v>
      </c>
      <c r="D99" s="1219">
        <v>3</v>
      </c>
      <c r="E99" s="1219">
        <v>3</v>
      </c>
      <c r="F99" s="1217" t="s">
        <v>1497</v>
      </c>
      <c r="G99" s="1217" t="s">
        <v>1497</v>
      </c>
      <c r="H99" s="1217" t="s">
        <v>1456</v>
      </c>
      <c r="I99" s="1217"/>
      <c r="J99" s="1217" t="s">
        <v>962</v>
      </c>
      <c r="K99" s="1217" t="s">
        <v>962</v>
      </c>
    </row>
    <row r="100" spans="2:11" ht="42" customHeight="1" thickBot="1" x14ac:dyDescent="0.3">
      <c r="B100" s="1218" t="s">
        <v>1540</v>
      </c>
      <c r="C100" s="1218" t="s">
        <v>1540</v>
      </c>
      <c r="D100" s="1219">
        <v>3</v>
      </c>
      <c r="E100" s="1219">
        <v>3</v>
      </c>
      <c r="F100" s="1217" t="s">
        <v>1497</v>
      </c>
      <c r="G100" s="1217" t="s">
        <v>1497</v>
      </c>
      <c r="H100" s="1217" t="s">
        <v>1456</v>
      </c>
      <c r="I100" s="1217"/>
      <c r="J100" s="1217" t="s">
        <v>1541</v>
      </c>
      <c r="K100" s="1217" t="s">
        <v>1541</v>
      </c>
    </row>
    <row r="101" spans="2:11" ht="18.75" customHeight="1" thickBot="1" x14ac:dyDescent="0.3">
      <c r="B101" s="1218" t="s">
        <v>1542</v>
      </c>
      <c r="C101" s="1218" t="s">
        <v>1542</v>
      </c>
      <c r="D101" s="1219">
        <v>3</v>
      </c>
      <c r="E101" s="1219">
        <v>3</v>
      </c>
      <c r="F101" s="1217" t="s">
        <v>1497</v>
      </c>
      <c r="G101" s="1217" t="s">
        <v>1497</v>
      </c>
      <c r="H101" s="1217" t="s">
        <v>1456</v>
      </c>
      <c r="I101" s="1217"/>
      <c r="J101" s="1217" t="s">
        <v>1543</v>
      </c>
      <c r="K101" s="1217" t="s">
        <v>1543</v>
      </c>
    </row>
    <row r="102" spans="2:11" ht="18.75" customHeight="1" thickBot="1" x14ac:dyDescent="0.3">
      <c r="B102" s="1218" t="s">
        <v>1544</v>
      </c>
      <c r="C102" s="1218" t="s">
        <v>1544</v>
      </c>
      <c r="D102" s="1219">
        <v>3</v>
      </c>
      <c r="E102" s="1219">
        <v>3</v>
      </c>
      <c r="F102" s="1217" t="s">
        <v>1497</v>
      </c>
      <c r="G102" s="1217" t="s">
        <v>1497</v>
      </c>
      <c r="H102" s="1217" t="s">
        <v>1456</v>
      </c>
      <c r="I102" s="1217"/>
      <c r="J102" s="1217" t="s">
        <v>1545</v>
      </c>
      <c r="K102" s="1217" t="s">
        <v>1545</v>
      </c>
    </row>
    <row r="103" spans="2:11" ht="29.25" customHeight="1" thickBot="1" x14ac:dyDescent="0.3">
      <c r="B103" s="1218" t="s">
        <v>1546</v>
      </c>
      <c r="C103" s="1218" t="s">
        <v>1546</v>
      </c>
      <c r="D103" s="1219">
        <v>3</v>
      </c>
      <c r="E103" s="1219">
        <v>3</v>
      </c>
      <c r="F103" s="1217" t="s">
        <v>1497</v>
      </c>
      <c r="G103" s="1217" t="s">
        <v>1497</v>
      </c>
      <c r="H103" s="1217" t="s">
        <v>1456</v>
      </c>
      <c r="I103" s="1217"/>
      <c r="J103" s="1217" t="s">
        <v>1547</v>
      </c>
      <c r="K103" s="1217" t="s">
        <v>1547</v>
      </c>
    </row>
    <row r="104" spans="2:11" ht="29.25" customHeight="1" thickBot="1" x14ac:dyDescent="0.3">
      <c r="B104" s="1218" t="s">
        <v>1548</v>
      </c>
      <c r="C104" s="1218" t="s">
        <v>1548</v>
      </c>
      <c r="D104" s="1219">
        <v>2</v>
      </c>
      <c r="E104" s="1219">
        <v>2</v>
      </c>
      <c r="F104" s="1217" t="s">
        <v>1497</v>
      </c>
      <c r="G104" s="1217" t="s">
        <v>1497</v>
      </c>
      <c r="H104" s="1217" t="s">
        <v>1456</v>
      </c>
      <c r="I104" s="1217"/>
      <c r="J104" s="1217" t="s">
        <v>1549</v>
      </c>
      <c r="K104" s="1217" t="s">
        <v>1549</v>
      </c>
    </row>
    <row r="105" spans="2:11" ht="31.5" customHeight="1" thickBot="1" x14ac:dyDescent="0.3">
      <c r="B105" s="1218" t="s">
        <v>1550</v>
      </c>
      <c r="C105" s="1218" t="s">
        <v>1550</v>
      </c>
      <c r="D105" s="1219">
        <v>2</v>
      </c>
      <c r="E105" s="1219">
        <v>2</v>
      </c>
      <c r="F105" s="1217" t="s">
        <v>1497</v>
      </c>
      <c r="G105" s="1217" t="s">
        <v>1497</v>
      </c>
      <c r="H105" s="1217" t="s">
        <v>1456</v>
      </c>
      <c r="I105" s="1217"/>
      <c r="J105" s="1217" t="s">
        <v>1511</v>
      </c>
      <c r="K105" s="1217" t="s">
        <v>1511</v>
      </c>
    </row>
    <row r="106" spans="2:11" ht="30.75" customHeight="1" thickBot="1" x14ac:dyDescent="0.3">
      <c r="B106" s="1218" t="s">
        <v>1551</v>
      </c>
      <c r="C106" s="1218" t="s">
        <v>1551</v>
      </c>
      <c r="D106" s="1219">
        <v>2</v>
      </c>
      <c r="E106" s="1219">
        <v>2</v>
      </c>
      <c r="F106" s="1217" t="s">
        <v>1497</v>
      </c>
      <c r="G106" s="1217" t="s">
        <v>1497</v>
      </c>
      <c r="H106" s="1217" t="s">
        <v>1456</v>
      </c>
      <c r="I106" s="1217"/>
      <c r="J106" s="1217" t="s">
        <v>1552</v>
      </c>
      <c r="K106" s="1217" t="s">
        <v>1552</v>
      </c>
    </row>
    <row r="107" spans="2:11" ht="18.75" customHeight="1" thickBot="1" x14ac:dyDescent="0.3">
      <c r="B107" s="1218" t="s">
        <v>1553</v>
      </c>
      <c r="C107" s="1218" t="s">
        <v>1553</v>
      </c>
      <c r="D107" s="1219">
        <v>2</v>
      </c>
      <c r="E107" s="1219">
        <v>2</v>
      </c>
      <c r="F107" s="1217" t="s">
        <v>1497</v>
      </c>
      <c r="G107" s="1217" t="s">
        <v>1497</v>
      </c>
      <c r="H107" s="1217" t="s">
        <v>1456</v>
      </c>
      <c r="I107" s="1217"/>
      <c r="J107" s="1217" t="s">
        <v>1552</v>
      </c>
      <c r="K107" s="1217" t="s">
        <v>1552</v>
      </c>
    </row>
    <row r="108" spans="2:11" ht="18.75" customHeight="1" thickBot="1" x14ac:dyDescent="0.3">
      <c r="B108" s="1218" t="s">
        <v>1554</v>
      </c>
      <c r="C108" s="1218" t="s">
        <v>1554</v>
      </c>
      <c r="D108" s="1219">
        <v>2</v>
      </c>
      <c r="E108" s="1219">
        <v>2</v>
      </c>
      <c r="F108" s="1217" t="s">
        <v>1497</v>
      </c>
      <c r="G108" s="1217" t="s">
        <v>1497</v>
      </c>
      <c r="H108" s="1217" t="s">
        <v>1456</v>
      </c>
      <c r="I108" s="1217"/>
      <c r="J108" s="1217" t="s">
        <v>1555</v>
      </c>
      <c r="K108" s="1217" t="s">
        <v>1555</v>
      </c>
    </row>
    <row r="109" spans="2:11" ht="18.75" customHeight="1" thickBot="1" x14ac:dyDescent="0.3">
      <c r="B109" s="1218" t="s">
        <v>1556</v>
      </c>
      <c r="C109" s="1218" t="s">
        <v>1556</v>
      </c>
      <c r="D109" s="1219">
        <v>2</v>
      </c>
      <c r="E109" s="1219">
        <v>2</v>
      </c>
      <c r="F109" s="1217" t="s">
        <v>1497</v>
      </c>
      <c r="G109" s="1217" t="s">
        <v>1497</v>
      </c>
      <c r="H109" s="1217" t="s">
        <v>1456</v>
      </c>
      <c r="I109" s="1217"/>
      <c r="J109" s="1217" t="s">
        <v>1557</v>
      </c>
      <c r="K109" s="1217" t="s">
        <v>1557</v>
      </c>
    </row>
    <row r="110" spans="2:11" ht="18.75" customHeight="1" thickBot="1" x14ac:dyDescent="0.3">
      <c r="B110" s="1218" t="s">
        <v>1558</v>
      </c>
      <c r="C110" s="1218" t="s">
        <v>1558</v>
      </c>
      <c r="D110" s="1219">
        <v>2</v>
      </c>
      <c r="E110" s="1219">
        <v>2</v>
      </c>
      <c r="F110" s="1217" t="s">
        <v>1497</v>
      </c>
      <c r="G110" s="1217" t="s">
        <v>1497</v>
      </c>
      <c r="H110" s="1217" t="s">
        <v>1456</v>
      </c>
      <c r="I110" s="1217"/>
      <c r="J110" s="1217" t="s">
        <v>1530</v>
      </c>
      <c r="K110" s="1217" t="s">
        <v>1530</v>
      </c>
    </row>
    <row r="111" spans="2:11" ht="18.75" customHeight="1" thickBot="1" x14ac:dyDescent="0.3">
      <c r="B111" s="1218" t="s">
        <v>1559</v>
      </c>
      <c r="C111" s="1218" t="s">
        <v>1559</v>
      </c>
      <c r="D111" s="1219">
        <v>2</v>
      </c>
      <c r="E111" s="1219">
        <v>2</v>
      </c>
      <c r="F111" s="1217" t="s">
        <v>1497</v>
      </c>
      <c r="G111" s="1217" t="s">
        <v>1497</v>
      </c>
      <c r="H111" s="1217" t="s">
        <v>1456</v>
      </c>
      <c r="I111" s="1217"/>
      <c r="J111" s="1217" t="s">
        <v>1560</v>
      </c>
      <c r="K111" s="1217" t="s">
        <v>1560</v>
      </c>
    </row>
    <row r="112" spans="2:11" ht="18.75" customHeight="1" thickBot="1" x14ac:dyDescent="0.3">
      <c r="B112" s="1218" t="s">
        <v>1561</v>
      </c>
      <c r="C112" s="1218" t="s">
        <v>1561</v>
      </c>
      <c r="D112" s="1219">
        <v>2</v>
      </c>
      <c r="E112" s="1219">
        <v>2</v>
      </c>
      <c r="F112" s="1217" t="s">
        <v>1497</v>
      </c>
      <c r="G112" s="1217" t="s">
        <v>1497</v>
      </c>
      <c r="H112" s="1217" t="s">
        <v>1456</v>
      </c>
      <c r="I112" s="1217"/>
      <c r="J112" s="1217" t="s">
        <v>1562</v>
      </c>
      <c r="K112" s="1217" t="s">
        <v>1562</v>
      </c>
    </row>
    <row r="113" spans="2:11" ht="18.75" customHeight="1" thickBot="1" x14ac:dyDescent="0.3">
      <c r="B113" s="1218" t="s">
        <v>1563</v>
      </c>
      <c r="C113" s="1218" t="s">
        <v>1563</v>
      </c>
      <c r="D113" s="1219">
        <v>2</v>
      </c>
      <c r="E113" s="1219">
        <v>2</v>
      </c>
      <c r="F113" s="1217" t="s">
        <v>1497</v>
      </c>
      <c r="G113" s="1217" t="s">
        <v>1497</v>
      </c>
      <c r="H113" s="1217" t="s">
        <v>1456</v>
      </c>
      <c r="I113" s="1217"/>
      <c r="J113" s="1217" t="s">
        <v>1564</v>
      </c>
      <c r="K113" s="1217" t="s">
        <v>1564</v>
      </c>
    </row>
    <row r="114" spans="2:11" ht="18.75" customHeight="1" thickBot="1" x14ac:dyDescent="0.3">
      <c r="B114" s="1218" t="s">
        <v>1565</v>
      </c>
      <c r="C114" s="1218" t="s">
        <v>1565</v>
      </c>
      <c r="D114" s="1219">
        <v>2</v>
      </c>
      <c r="E114" s="1219">
        <v>2</v>
      </c>
      <c r="F114" s="1217" t="s">
        <v>1497</v>
      </c>
      <c r="G114" s="1217" t="s">
        <v>1497</v>
      </c>
      <c r="H114" s="1217" t="s">
        <v>1456</v>
      </c>
      <c r="I114" s="1217"/>
      <c r="J114" s="1217" t="s">
        <v>1566</v>
      </c>
      <c r="K114" s="1217" t="s">
        <v>1566</v>
      </c>
    </row>
    <row r="115" spans="2:11" ht="18.75" customHeight="1" thickBot="1" x14ac:dyDescent="0.3">
      <c r="B115" s="1218" t="s">
        <v>1567</v>
      </c>
      <c r="C115" s="1218" t="s">
        <v>1567</v>
      </c>
      <c r="D115" s="1219">
        <v>2</v>
      </c>
      <c r="E115" s="1219">
        <v>2</v>
      </c>
      <c r="F115" s="1217" t="s">
        <v>1497</v>
      </c>
      <c r="G115" s="1217" t="s">
        <v>1497</v>
      </c>
      <c r="H115" s="1217" t="s">
        <v>1456</v>
      </c>
      <c r="I115" s="1217"/>
      <c r="J115" s="1217" t="s">
        <v>1568</v>
      </c>
      <c r="K115" s="1217" t="s">
        <v>1568</v>
      </c>
    </row>
    <row r="116" spans="2:11" ht="28.5" customHeight="1" thickBot="1" x14ac:dyDescent="0.3">
      <c r="B116" s="1218" t="s">
        <v>1569</v>
      </c>
      <c r="C116" s="1218" t="s">
        <v>1569</v>
      </c>
      <c r="D116" s="1219">
        <v>2</v>
      </c>
      <c r="E116" s="1219">
        <v>2</v>
      </c>
      <c r="F116" s="1217" t="s">
        <v>1497</v>
      </c>
      <c r="G116" s="1217" t="s">
        <v>1497</v>
      </c>
      <c r="H116" s="1217" t="s">
        <v>1456</v>
      </c>
      <c r="I116" s="1217"/>
      <c r="J116" s="1217" t="s">
        <v>1570</v>
      </c>
      <c r="K116" s="1217" t="s">
        <v>1570</v>
      </c>
    </row>
    <row r="117" spans="2:11" ht="56.25" customHeight="1" thickBot="1" x14ac:dyDescent="0.3">
      <c r="B117" s="1218" t="s">
        <v>1571</v>
      </c>
      <c r="C117" s="1218" t="s">
        <v>1571</v>
      </c>
      <c r="D117" s="1219">
        <v>2</v>
      </c>
      <c r="E117" s="1219">
        <v>2</v>
      </c>
      <c r="F117" s="1217" t="s">
        <v>1497</v>
      </c>
      <c r="G117" s="1217" t="s">
        <v>1497</v>
      </c>
      <c r="H117" s="1217" t="s">
        <v>1456</v>
      </c>
      <c r="I117" s="1217"/>
      <c r="J117" s="1217" t="s">
        <v>1572</v>
      </c>
      <c r="K117" s="1217" t="s">
        <v>1572</v>
      </c>
    </row>
    <row r="118" spans="2:11" ht="18.75" customHeight="1" thickBot="1" x14ac:dyDescent="0.3">
      <c r="B118" s="1218" t="s">
        <v>1573</v>
      </c>
      <c r="C118" s="1218" t="s">
        <v>1573</v>
      </c>
      <c r="D118" s="1219">
        <v>2</v>
      </c>
      <c r="E118" s="1219">
        <v>2</v>
      </c>
      <c r="F118" s="1217" t="s">
        <v>1497</v>
      </c>
      <c r="G118" s="1217" t="s">
        <v>1497</v>
      </c>
      <c r="H118" s="1217" t="s">
        <v>1456</v>
      </c>
      <c r="I118" s="1217"/>
      <c r="J118" s="1217" t="s">
        <v>1574</v>
      </c>
      <c r="K118" s="1217" t="s">
        <v>1574</v>
      </c>
    </row>
    <row r="119" spans="2:11" ht="28.5" customHeight="1" thickBot="1" x14ac:dyDescent="0.3">
      <c r="B119" s="1218" t="s">
        <v>1575</v>
      </c>
      <c r="C119" s="1218" t="s">
        <v>1575</v>
      </c>
      <c r="D119" s="1219">
        <v>2</v>
      </c>
      <c r="E119" s="1219">
        <v>2</v>
      </c>
      <c r="F119" s="1217" t="s">
        <v>1497</v>
      </c>
      <c r="G119" s="1217" t="s">
        <v>1497</v>
      </c>
      <c r="H119" s="1217" t="s">
        <v>1456</v>
      </c>
      <c r="I119" s="1217"/>
      <c r="J119" s="1217" t="s">
        <v>1576</v>
      </c>
      <c r="K119" s="1217" t="s">
        <v>1576</v>
      </c>
    </row>
    <row r="120" spans="2:11" ht="31.5" customHeight="1" thickBot="1" x14ac:dyDescent="0.3">
      <c r="B120" s="1218" t="s">
        <v>1577</v>
      </c>
      <c r="C120" s="1218" t="s">
        <v>1577</v>
      </c>
      <c r="D120" s="1219">
        <v>2</v>
      </c>
      <c r="E120" s="1219">
        <v>2</v>
      </c>
      <c r="F120" s="1217" t="s">
        <v>1497</v>
      </c>
      <c r="G120" s="1217" t="s">
        <v>1497</v>
      </c>
      <c r="H120" s="1217" t="s">
        <v>1456</v>
      </c>
      <c r="I120" s="1217"/>
      <c r="J120" s="1217" t="s">
        <v>1576</v>
      </c>
      <c r="K120" s="1217" t="s">
        <v>1576</v>
      </c>
    </row>
    <row r="121" spans="2:11" ht="18.75" customHeight="1" thickBot="1" x14ac:dyDescent="0.3">
      <c r="B121" s="1218" t="s">
        <v>1578</v>
      </c>
      <c r="C121" s="1218" t="s">
        <v>1578</v>
      </c>
      <c r="D121" s="1219">
        <v>2</v>
      </c>
      <c r="E121" s="1219">
        <v>2</v>
      </c>
      <c r="F121" s="1217" t="s">
        <v>1497</v>
      </c>
      <c r="G121" s="1217" t="s">
        <v>1497</v>
      </c>
      <c r="H121" s="1217" t="s">
        <v>1456</v>
      </c>
      <c r="I121" s="1217"/>
      <c r="J121" s="1217" t="s">
        <v>1579</v>
      </c>
      <c r="K121" s="1217" t="s">
        <v>1579</v>
      </c>
    </row>
    <row r="122" spans="2:11" ht="18.75" customHeight="1" thickBot="1" x14ac:dyDescent="0.3">
      <c r="B122" s="1218" t="s">
        <v>1580</v>
      </c>
      <c r="C122" s="1218" t="s">
        <v>1580</v>
      </c>
      <c r="D122" s="1219">
        <v>2</v>
      </c>
      <c r="E122" s="1219">
        <v>2</v>
      </c>
      <c r="F122" s="1217" t="s">
        <v>1497</v>
      </c>
      <c r="G122" s="1217" t="s">
        <v>1497</v>
      </c>
      <c r="H122" s="1217" t="s">
        <v>1456</v>
      </c>
      <c r="I122" s="1217"/>
      <c r="J122" s="1217" t="s">
        <v>1500</v>
      </c>
      <c r="K122" s="1217" t="s">
        <v>1500</v>
      </c>
    </row>
    <row r="123" spans="2:11" ht="18.75" customHeight="1" thickBot="1" x14ac:dyDescent="0.3">
      <c r="B123" s="1218" t="s">
        <v>1581</v>
      </c>
      <c r="C123" s="1218" t="s">
        <v>1581</v>
      </c>
      <c r="D123" s="1219">
        <v>2</v>
      </c>
      <c r="E123" s="1219">
        <v>2</v>
      </c>
      <c r="F123" s="1217" t="s">
        <v>1497</v>
      </c>
      <c r="G123" s="1217" t="s">
        <v>1497</v>
      </c>
      <c r="H123" s="1217" t="s">
        <v>1456</v>
      </c>
      <c r="I123" s="1217"/>
      <c r="J123" s="1217" t="s">
        <v>961</v>
      </c>
      <c r="K123" s="1217" t="s">
        <v>961</v>
      </c>
    </row>
    <row r="124" spans="2:11" ht="30.75" customHeight="1" thickBot="1" x14ac:dyDescent="0.3">
      <c r="B124" s="1218" t="s">
        <v>1582</v>
      </c>
      <c r="C124" s="1218" t="s">
        <v>1582</v>
      </c>
      <c r="D124" s="1219">
        <v>2</v>
      </c>
      <c r="E124" s="1219">
        <v>2</v>
      </c>
      <c r="F124" s="1217" t="s">
        <v>1497</v>
      </c>
      <c r="G124" s="1217" t="s">
        <v>1497</v>
      </c>
      <c r="H124" s="1217" t="s">
        <v>1456</v>
      </c>
      <c r="I124" s="1217"/>
      <c r="J124" s="1217" t="s">
        <v>961</v>
      </c>
      <c r="K124" s="1217" t="s">
        <v>961</v>
      </c>
    </row>
    <row r="125" spans="2:11" ht="30.75" customHeight="1" thickBot="1" x14ac:dyDescent="0.3">
      <c r="B125" s="1218" t="s">
        <v>1583</v>
      </c>
      <c r="C125" s="1218" t="s">
        <v>1583</v>
      </c>
      <c r="D125" s="1219">
        <v>2</v>
      </c>
      <c r="E125" s="1219">
        <v>2</v>
      </c>
      <c r="F125" s="1217" t="s">
        <v>1497</v>
      </c>
      <c r="G125" s="1217" t="s">
        <v>1497</v>
      </c>
      <c r="H125" s="1217" t="s">
        <v>1456</v>
      </c>
      <c r="I125" s="1217"/>
      <c r="J125" s="1217" t="s">
        <v>1520</v>
      </c>
      <c r="K125" s="1217" t="s">
        <v>1520</v>
      </c>
    </row>
    <row r="126" spans="2:11" ht="30.75" customHeight="1" thickBot="1" x14ac:dyDescent="0.3">
      <c r="B126" s="1218" t="s">
        <v>1584</v>
      </c>
      <c r="C126" s="1218" t="s">
        <v>1584</v>
      </c>
      <c r="D126" s="1219">
        <v>2</v>
      </c>
      <c r="E126" s="1219">
        <v>2</v>
      </c>
      <c r="F126" s="1217" t="s">
        <v>1497</v>
      </c>
      <c r="G126" s="1217" t="s">
        <v>1497</v>
      </c>
      <c r="H126" s="1217" t="s">
        <v>1456</v>
      </c>
      <c r="I126" s="1217"/>
      <c r="J126" s="1217" t="s">
        <v>962</v>
      </c>
      <c r="K126" s="1217" t="s">
        <v>962</v>
      </c>
    </row>
    <row r="127" spans="2:11" ht="30.75" customHeight="1" thickBot="1" x14ac:dyDescent="0.3">
      <c r="B127" s="1218" t="s">
        <v>1585</v>
      </c>
      <c r="C127" s="1218" t="s">
        <v>1585</v>
      </c>
      <c r="D127" s="1219">
        <v>2</v>
      </c>
      <c r="E127" s="1219">
        <v>2</v>
      </c>
      <c r="F127" s="1217" t="s">
        <v>1497</v>
      </c>
      <c r="G127" s="1217" t="s">
        <v>1497</v>
      </c>
      <c r="H127" s="1217" t="s">
        <v>1456</v>
      </c>
      <c r="I127" s="1217"/>
      <c r="J127" s="1217" t="s">
        <v>962</v>
      </c>
      <c r="K127" s="1217" t="s">
        <v>962</v>
      </c>
    </row>
    <row r="128" spans="2:11" ht="30.75" customHeight="1" thickBot="1" x14ac:dyDescent="0.3">
      <c r="B128" s="1218" t="s">
        <v>1586</v>
      </c>
      <c r="C128" s="1218" t="s">
        <v>1586</v>
      </c>
      <c r="D128" s="1219">
        <v>2</v>
      </c>
      <c r="E128" s="1219">
        <v>2</v>
      </c>
      <c r="F128" s="1217" t="s">
        <v>1497</v>
      </c>
      <c r="G128" s="1217" t="s">
        <v>1497</v>
      </c>
      <c r="H128" s="1217" t="s">
        <v>1456</v>
      </c>
      <c r="I128" s="1217"/>
      <c r="J128" s="1217" t="s">
        <v>962</v>
      </c>
      <c r="K128" s="1217" t="s">
        <v>962</v>
      </c>
    </row>
    <row r="129" spans="2:11" ht="18.75" customHeight="1" thickBot="1" x14ac:dyDescent="0.3">
      <c r="B129" s="1218" t="s">
        <v>1587</v>
      </c>
      <c r="C129" s="1218" t="s">
        <v>1587</v>
      </c>
      <c r="D129" s="1219">
        <v>2</v>
      </c>
      <c r="E129" s="1219">
        <v>2</v>
      </c>
      <c r="F129" s="1217" t="s">
        <v>1497</v>
      </c>
      <c r="G129" s="1217" t="s">
        <v>1497</v>
      </c>
      <c r="H129" s="1217" t="s">
        <v>1456</v>
      </c>
      <c r="I129" s="1217"/>
      <c r="J129" s="1217" t="s">
        <v>1504</v>
      </c>
      <c r="K129" s="1217" t="s">
        <v>1504</v>
      </c>
    </row>
    <row r="130" spans="2:11" ht="29.25" customHeight="1" thickBot="1" x14ac:dyDescent="0.3">
      <c r="B130" s="1218" t="s">
        <v>1588</v>
      </c>
      <c r="C130" s="1218" t="s">
        <v>1588</v>
      </c>
      <c r="D130" s="1219">
        <v>2</v>
      </c>
      <c r="E130" s="1219">
        <v>2</v>
      </c>
      <c r="F130" s="1217" t="s">
        <v>1497</v>
      </c>
      <c r="G130" s="1217" t="s">
        <v>1497</v>
      </c>
      <c r="H130" s="1217" t="s">
        <v>1456</v>
      </c>
      <c r="I130" s="1217"/>
      <c r="J130" s="1217" t="s">
        <v>1589</v>
      </c>
      <c r="K130" s="1217" t="s">
        <v>1589</v>
      </c>
    </row>
    <row r="131" spans="2:11" ht="29.25" customHeight="1" thickBot="1" x14ac:dyDescent="0.3">
      <c r="B131" s="1218" t="s">
        <v>1590</v>
      </c>
      <c r="C131" s="1218" t="s">
        <v>1590</v>
      </c>
      <c r="D131" s="1219">
        <v>2</v>
      </c>
      <c r="E131" s="1219">
        <v>2</v>
      </c>
      <c r="F131" s="1217" t="s">
        <v>1497</v>
      </c>
      <c r="G131" s="1217" t="s">
        <v>1497</v>
      </c>
      <c r="H131" s="1217" t="s">
        <v>1456</v>
      </c>
      <c r="I131" s="1217"/>
      <c r="J131" s="1217" t="s">
        <v>1591</v>
      </c>
      <c r="K131" s="1217" t="s">
        <v>1591</v>
      </c>
    </row>
    <row r="132" spans="2:11" ht="18.75" customHeight="1" thickBot="1" x14ac:dyDescent="0.3">
      <c r="B132" s="1218" t="s">
        <v>1592</v>
      </c>
      <c r="C132" s="1218" t="s">
        <v>1592</v>
      </c>
      <c r="D132" s="1219">
        <v>2</v>
      </c>
      <c r="E132" s="1219">
        <v>2</v>
      </c>
      <c r="F132" s="1217" t="s">
        <v>1497</v>
      </c>
      <c r="G132" s="1217" t="s">
        <v>1497</v>
      </c>
      <c r="H132" s="1217" t="s">
        <v>1456</v>
      </c>
      <c r="I132" s="1217"/>
      <c r="J132" s="1217" t="s">
        <v>1591</v>
      </c>
      <c r="K132" s="1217" t="s">
        <v>1591</v>
      </c>
    </row>
    <row r="133" spans="2:11" ht="18.75" customHeight="1" thickBot="1" x14ac:dyDescent="0.3">
      <c r="B133" s="1218" t="s">
        <v>1593</v>
      </c>
      <c r="C133" s="1218" t="s">
        <v>1593</v>
      </c>
      <c r="D133" s="1219">
        <v>2</v>
      </c>
      <c r="E133" s="1219">
        <v>2</v>
      </c>
      <c r="F133" s="1217" t="s">
        <v>1497</v>
      </c>
      <c r="G133" s="1217" t="s">
        <v>1497</v>
      </c>
      <c r="H133" s="1217" t="s">
        <v>1456</v>
      </c>
      <c r="I133" s="1217"/>
      <c r="J133" s="1217" t="s">
        <v>1594</v>
      </c>
      <c r="K133" s="1217" t="s">
        <v>1594</v>
      </c>
    </row>
    <row r="134" spans="2:11" ht="18.75" customHeight="1" thickBot="1" x14ac:dyDescent="0.3">
      <c r="B134" s="1218" t="s">
        <v>1595</v>
      </c>
      <c r="C134" s="1218" t="s">
        <v>1595</v>
      </c>
      <c r="D134" s="1219">
        <v>2</v>
      </c>
      <c r="E134" s="1219">
        <v>2</v>
      </c>
      <c r="F134" s="1217" t="s">
        <v>1497</v>
      </c>
      <c r="G134" s="1217" t="s">
        <v>1497</v>
      </c>
      <c r="H134" s="1217" t="s">
        <v>1456</v>
      </c>
      <c r="I134" s="1217"/>
      <c r="J134" s="1217" t="s">
        <v>1596</v>
      </c>
      <c r="K134" s="1217" t="s">
        <v>1596</v>
      </c>
    </row>
    <row r="135" spans="2:11" ht="18.75" customHeight="1" thickBot="1" x14ac:dyDescent="0.3">
      <c r="B135" s="1218" t="s">
        <v>1597</v>
      </c>
      <c r="C135" s="1218" t="s">
        <v>1597</v>
      </c>
      <c r="D135" s="1219">
        <v>2</v>
      </c>
      <c r="E135" s="1219">
        <v>2</v>
      </c>
      <c r="F135" s="1217" t="s">
        <v>1497</v>
      </c>
      <c r="G135" s="1217" t="s">
        <v>1497</v>
      </c>
      <c r="H135" s="1217" t="s">
        <v>1456</v>
      </c>
      <c r="I135" s="1217"/>
      <c r="J135" s="1217" t="s">
        <v>1541</v>
      </c>
      <c r="K135" s="1217" t="s">
        <v>1541</v>
      </c>
    </row>
    <row r="136" spans="2:11" ht="18.75" customHeight="1" thickBot="1" x14ac:dyDescent="0.3">
      <c r="B136" s="1218" t="s">
        <v>1598</v>
      </c>
      <c r="C136" s="1218" t="s">
        <v>1598</v>
      </c>
      <c r="D136" s="1219">
        <v>2</v>
      </c>
      <c r="E136" s="1219">
        <v>2</v>
      </c>
      <c r="F136" s="1217" t="s">
        <v>1497</v>
      </c>
      <c r="G136" s="1217" t="s">
        <v>1497</v>
      </c>
      <c r="H136" s="1217" t="s">
        <v>1456</v>
      </c>
      <c r="I136" s="1217"/>
      <c r="J136" s="1217" t="s">
        <v>1599</v>
      </c>
      <c r="K136" s="1217" t="s">
        <v>1599</v>
      </c>
    </row>
    <row r="137" spans="2:11" ht="18.75" customHeight="1" thickBot="1" x14ac:dyDescent="0.3">
      <c r="B137" s="1218" t="s">
        <v>1600</v>
      </c>
      <c r="C137" s="1218" t="s">
        <v>1600</v>
      </c>
      <c r="D137" s="1219">
        <v>2</v>
      </c>
      <c r="E137" s="1219">
        <v>2</v>
      </c>
      <c r="F137" s="1217" t="s">
        <v>1497</v>
      </c>
      <c r="G137" s="1217" t="s">
        <v>1497</v>
      </c>
      <c r="H137" s="1217" t="s">
        <v>1456</v>
      </c>
      <c r="I137" s="1217"/>
      <c r="J137" s="1217" t="s">
        <v>1601</v>
      </c>
      <c r="K137" s="1217" t="s">
        <v>1601</v>
      </c>
    </row>
    <row r="138" spans="2:11" ht="18.75" customHeight="1" thickBot="1" x14ac:dyDescent="0.3">
      <c r="B138" s="1218" t="s">
        <v>1602</v>
      </c>
      <c r="C138" s="1218" t="s">
        <v>1602</v>
      </c>
      <c r="D138" s="1219">
        <v>2</v>
      </c>
      <c r="E138" s="1219">
        <v>2</v>
      </c>
      <c r="F138" s="1217" t="s">
        <v>1497</v>
      </c>
      <c r="G138" s="1217" t="s">
        <v>1497</v>
      </c>
      <c r="H138" s="1217" t="s">
        <v>1456</v>
      </c>
      <c r="I138" s="1217"/>
      <c r="J138" s="1217" t="s">
        <v>1603</v>
      </c>
      <c r="K138" s="1217" t="s">
        <v>1603</v>
      </c>
    </row>
    <row r="139" spans="2:11" ht="18.75" customHeight="1" thickBot="1" x14ac:dyDescent="0.3">
      <c r="B139" s="1218" t="s">
        <v>1604</v>
      </c>
      <c r="C139" s="1218" t="s">
        <v>1604</v>
      </c>
      <c r="D139" s="1219">
        <v>2</v>
      </c>
      <c r="E139" s="1219">
        <v>2</v>
      </c>
      <c r="F139" s="1217" t="s">
        <v>1497</v>
      </c>
      <c r="G139" s="1217" t="s">
        <v>1497</v>
      </c>
      <c r="H139" s="1217" t="s">
        <v>1456</v>
      </c>
      <c r="I139" s="1217"/>
      <c r="J139" s="1217" t="s">
        <v>1605</v>
      </c>
      <c r="K139" s="1217" t="s">
        <v>1605</v>
      </c>
    </row>
    <row r="140" spans="2:11" ht="18.75" customHeight="1" thickBot="1" x14ac:dyDescent="0.3">
      <c r="B140" s="1218" t="s">
        <v>1606</v>
      </c>
      <c r="C140" s="1218" t="s">
        <v>1606</v>
      </c>
      <c r="D140" s="1219">
        <v>2</v>
      </c>
      <c r="E140" s="1219">
        <v>2</v>
      </c>
      <c r="F140" s="1217" t="s">
        <v>1497</v>
      </c>
      <c r="G140" s="1217" t="s">
        <v>1497</v>
      </c>
      <c r="H140" s="1217" t="s">
        <v>1456</v>
      </c>
      <c r="I140" s="1217"/>
      <c r="J140" s="1217" t="s">
        <v>1397</v>
      </c>
      <c r="K140" s="1217" t="s">
        <v>1397</v>
      </c>
    </row>
    <row r="141" spans="2:11" ht="18.75" customHeight="1" thickBot="1" x14ac:dyDescent="0.3">
      <c r="B141" s="1218" t="s">
        <v>1607</v>
      </c>
      <c r="C141" s="1218" t="s">
        <v>1607</v>
      </c>
      <c r="D141" s="1219">
        <v>2</v>
      </c>
      <c r="E141" s="1219">
        <v>2</v>
      </c>
      <c r="F141" s="1217" t="s">
        <v>1497</v>
      </c>
      <c r="G141" s="1217" t="s">
        <v>1497</v>
      </c>
      <c r="H141" s="1217" t="s">
        <v>1456</v>
      </c>
      <c r="I141" s="1217"/>
      <c r="J141" s="1217" t="s">
        <v>1506</v>
      </c>
      <c r="K141" s="1217" t="s">
        <v>1506</v>
      </c>
    </row>
    <row r="142" spans="2:11" ht="18.75" customHeight="1" thickBot="1" x14ac:dyDescent="0.3">
      <c r="B142" s="1218" t="s">
        <v>1608</v>
      </c>
      <c r="C142" s="1218" t="s">
        <v>1608</v>
      </c>
      <c r="D142" s="1219">
        <v>2</v>
      </c>
      <c r="E142" s="1219">
        <v>2</v>
      </c>
      <c r="F142" s="1217" t="s">
        <v>1497</v>
      </c>
      <c r="G142" s="1217" t="s">
        <v>1497</v>
      </c>
      <c r="H142" s="1217" t="s">
        <v>1456</v>
      </c>
      <c r="I142" s="1217"/>
      <c r="J142" s="1217" t="s">
        <v>1609</v>
      </c>
      <c r="K142" s="1217" t="s">
        <v>1609</v>
      </c>
    </row>
    <row r="143" spans="2:11" ht="18.75" customHeight="1" thickBot="1" x14ac:dyDescent="0.3">
      <c r="B143" s="1218" t="s">
        <v>1610</v>
      </c>
      <c r="C143" s="1218" t="s">
        <v>1610</v>
      </c>
      <c r="D143" s="1219">
        <v>2</v>
      </c>
      <c r="E143" s="1219">
        <v>2</v>
      </c>
      <c r="F143" s="1217" t="s">
        <v>1497</v>
      </c>
      <c r="G143" s="1217" t="s">
        <v>1497</v>
      </c>
      <c r="H143" s="1217" t="s">
        <v>1456</v>
      </c>
      <c r="I143" s="1217"/>
      <c r="J143" s="1217" t="s">
        <v>1611</v>
      </c>
      <c r="K143" s="1217" t="s">
        <v>1611</v>
      </c>
    </row>
    <row r="144" spans="2:11" ht="18.75" customHeight="1" thickBot="1" x14ac:dyDescent="0.3">
      <c r="B144" s="1218" t="s">
        <v>1612</v>
      </c>
      <c r="C144" s="1218" t="s">
        <v>1612</v>
      </c>
      <c r="D144" s="1219">
        <v>2</v>
      </c>
      <c r="E144" s="1219">
        <v>2</v>
      </c>
      <c r="F144" s="1217" t="s">
        <v>1497</v>
      </c>
      <c r="G144" s="1217" t="s">
        <v>1497</v>
      </c>
      <c r="H144" s="1217" t="s">
        <v>1456</v>
      </c>
      <c r="I144" s="1217"/>
      <c r="J144" s="1217" t="s">
        <v>1613</v>
      </c>
      <c r="K144" s="1217" t="s">
        <v>1613</v>
      </c>
    </row>
    <row r="145" spans="2:11" ht="18.75" customHeight="1" thickBot="1" x14ac:dyDescent="0.3">
      <c r="B145" s="1218" t="s">
        <v>1614</v>
      </c>
      <c r="C145" s="1218" t="s">
        <v>1614</v>
      </c>
      <c r="D145" s="1219">
        <v>1</v>
      </c>
      <c r="E145" s="1219">
        <v>1</v>
      </c>
      <c r="F145" s="1217" t="s">
        <v>1497</v>
      </c>
      <c r="G145" s="1217" t="s">
        <v>1497</v>
      </c>
      <c r="H145" s="1217" t="s">
        <v>1456</v>
      </c>
      <c r="I145" s="1217"/>
      <c r="J145" s="1217" t="s">
        <v>1511</v>
      </c>
      <c r="K145" s="1217" t="s">
        <v>1511</v>
      </c>
    </row>
    <row r="146" spans="2:11" ht="34.5" customHeight="1" thickBot="1" x14ac:dyDescent="0.3">
      <c r="B146" s="1218" t="s">
        <v>1615</v>
      </c>
      <c r="C146" s="1218" t="s">
        <v>1615</v>
      </c>
      <c r="D146" s="1219">
        <v>1</v>
      </c>
      <c r="E146" s="1219">
        <v>1</v>
      </c>
      <c r="F146" s="1217" t="s">
        <v>1497</v>
      </c>
      <c r="G146" s="1217" t="s">
        <v>1497</v>
      </c>
      <c r="H146" s="1217" t="s">
        <v>1456</v>
      </c>
      <c r="I146" s="1217"/>
      <c r="J146" s="1217" t="s">
        <v>1511</v>
      </c>
      <c r="K146" s="1217" t="s">
        <v>1511</v>
      </c>
    </row>
    <row r="147" spans="2:11" ht="18.75" customHeight="1" thickBot="1" x14ac:dyDescent="0.3">
      <c r="B147" s="1218" t="s">
        <v>1616</v>
      </c>
      <c r="C147" s="1218" t="s">
        <v>1616</v>
      </c>
      <c r="D147" s="1219">
        <v>1</v>
      </c>
      <c r="E147" s="1219">
        <v>1</v>
      </c>
      <c r="F147" s="1217" t="s">
        <v>1497</v>
      </c>
      <c r="G147" s="1217" t="s">
        <v>1497</v>
      </c>
      <c r="H147" s="1217" t="s">
        <v>1456</v>
      </c>
      <c r="I147" s="1217"/>
      <c r="J147" s="1217" t="s">
        <v>1617</v>
      </c>
      <c r="K147" s="1217" t="s">
        <v>1617</v>
      </c>
    </row>
    <row r="148" spans="2:11" ht="18.75" customHeight="1" thickBot="1" x14ac:dyDescent="0.3">
      <c r="B148" s="1218" t="s">
        <v>1618</v>
      </c>
      <c r="C148" s="1218" t="s">
        <v>1618</v>
      </c>
      <c r="D148" s="1219">
        <v>1</v>
      </c>
      <c r="E148" s="1219">
        <v>1</v>
      </c>
      <c r="F148" s="1217" t="s">
        <v>1497</v>
      </c>
      <c r="G148" s="1217" t="s">
        <v>1497</v>
      </c>
      <c r="H148" s="1217" t="s">
        <v>1456</v>
      </c>
      <c r="I148" s="1217"/>
      <c r="J148" s="1217" t="s">
        <v>1619</v>
      </c>
      <c r="K148" s="1217" t="s">
        <v>1619</v>
      </c>
    </row>
    <row r="149" spans="2:11" ht="18.75" customHeight="1" thickBot="1" x14ac:dyDescent="0.3">
      <c r="B149" s="1218" t="s">
        <v>1620</v>
      </c>
      <c r="C149" s="1218" t="s">
        <v>1620</v>
      </c>
      <c r="D149" s="1219">
        <v>1</v>
      </c>
      <c r="E149" s="1219">
        <v>1</v>
      </c>
      <c r="F149" s="1217" t="s">
        <v>1497</v>
      </c>
      <c r="G149" s="1217" t="s">
        <v>1497</v>
      </c>
      <c r="H149" s="1217" t="s">
        <v>1456</v>
      </c>
      <c r="I149" s="1217"/>
      <c r="J149" s="1217" t="s">
        <v>1621</v>
      </c>
      <c r="K149" s="1217" t="s">
        <v>1621</v>
      </c>
    </row>
    <row r="150" spans="2:11" ht="27.75" customHeight="1" thickBot="1" x14ac:dyDescent="0.3">
      <c r="B150" s="1218" t="s">
        <v>1622</v>
      </c>
      <c r="C150" s="1218" t="s">
        <v>1622</v>
      </c>
      <c r="D150" s="1219">
        <v>1</v>
      </c>
      <c r="E150" s="1219">
        <v>1</v>
      </c>
      <c r="F150" s="1217" t="s">
        <v>1497</v>
      </c>
      <c r="G150" s="1217" t="s">
        <v>1497</v>
      </c>
      <c r="H150" s="1217" t="s">
        <v>1456</v>
      </c>
      <c r="I150" s="1217"/>
      <c r="J150" s="1217" t="s">
        <v>1398</v>
      </c>
      <c r="K150" s="1217" t="s">
        <v>1398</v>
      </c>
    </row>
    <row r="151" spans="2:11" ht="27.75" customHeight="1" thickBot="1" x14ac:dyDescent="0.3">
      <c r="B151" s="1218" t="s">
        <v>1623</v>
      </c>
      <c r="C151" s="1218" t="s">
        <v>1623</v>
      </c>
      <c r="D151" s="1219">
        <v>1</v>
      </c>
      <c r="E151" s="1219">
        <v>1</v>
      </c>
      <c r="F151" s="1217" t="s">
        <v>1497</v>
      </c>
      <c r="G151" s="1217" t="s">
        <v>1497</v>
      </c>
      <c r="H151" s="1217" t="s">
        <v>1456</v>
      </c>
      <c r="I151" s="1217"/>
      <c r="J151" s="1217" t="s">
        <v>1624</v>
      </c>
      <c r="K151" s="1217" t="s">
        <v>1624</v>
      </c>
    </row>
    <row r="152" spans="2:11" ht="18.75" customHeight="1" thickBot="1" x14ac:dyDescent="0.3">
      <c r="B152" s="1218" t="s">
        <v>1625</v>
      </c>
      <c r="C152" s="1218" t="s">
        <v>1625</v>
      </c>
      <c r="D152" s="1219">
        <v>1</v>
      </c>
      <c r="E152" s="1219">
        <v>1</v>
      </c>
      <c r="F152" s="1217" t="s">
        <v>1497</v>
      </c>
      <c r="G152" s="1217" t="s">
        <v>1497</v>
      </c>
      <c r="H152" s="1217" t="s">
        <v>1456</v>
      </c>
      <c r="I152" s="1217"/>
      <c r="J152" s="1217" t="s">
        <v>1624</v>
      </c>
      <c r="K152" s="1217" t="s">
        <v>1624</v>
      </c>
    </row>
    <row r="153" spans="2:11" ht="28.5" customHeight="1" thickBot="1" x14ac:dyDescent="0.3">
      <c r="B153" s="1218" t="s">
        <v>1914</v>
      </c>
      <c r="C153" s="1218" t="s">
        <v>1626</v>
      </c>
      <c r="D153" s="1219">
        <v>1</v>
      </c>
      <c r="E153" s="1219">
        <v>1</v>
      </c>
      <c r="F153" s="1217" t="s">
        <v>1497</v>
      </c>
      <c r="G153" s="1217" t="s">
        <v>1497</v>
      </c>
      <c r="H153" s="1217" t="s">
        <v>1456</v>
      </c>
      <c r="I153" s="1217"/>
      <c r="J153" s="1217" t="s">
        <v>1627</v>
      </c>
      <c r="K153" s="1217" t="s">
        <v>1627</v>
      </c>
    </row>
    <row r="154" spans="2:11" ht="28.5" customHeight="1" thickBot="1" x14ac:dyDescent="0.3">
      <c r="B154" s="1218" t="s">
        <v>1915</v>
      </c>
      <c r="C154" s="1218" t="s">
        <v>1628</v>
      </c>
      <c r="D154" s="1219">
        <v>1</v>
      </c>
      <c r="E154" s="1219">
        <v>1</v>
      </c>
      <c r="F154" s="1217" t="s">
        <v>1497</v>
      </c>
      <c r="G154" s="1217" t="s">
        <v>1497</v>
      </c>
      <c r="H154" s="1217" t="s">
        <v>1456</v>
      </c>
      <c r="I154" s="1217"/>
      <c r="J154" s="1217" t="s">
        <v>1530</v>
      </c>
      <c r="K154" s="1217" t="s">
        <v>1530</v>
      </c>
    </row>
    <row r="155" spans="2:11" ht="18.75" customHeight="1" thickBot="1" x14ac:dyDescent="0.3">
      <c r="B155" s="1218" t="s">
        <v>1629</v>
      </c>
      <c r="C155" s="1218" t="s">
        <v>1629</v>
      </c>
      <c r="D155" s="1219">
        <v>1</v>
      </c>
      <c r="E155" s="1219">
        <v>1</v>
      </c>
      <c r="F155" s="1217" t="s">
        <v>1497</v>
      </c>
      <c r="G155" s="1217" t="s">
        <v>1497</v>
      </c>
      <c r="H155" s="1217" t="s">
        <v>1456</v>
      </c>
      <c r="I155" s="1217"/>
      <c r="J155" s="1217" t="s">
        <v>1530</v>
      </c>
      <c r="K155" s="1217" t="s">
        <v>1530</v>
      </c>
    </row>
    <row r="156" spans="2:11" ht="18.75" customHeight="1" thickBot="1" x14ac:dyDescent="0.3">
      <c r="B156" s="1218" t="s">
        <v>1630</v>
      </c>
      <c r="C156" s="1218" t="s">
        <v>1630</v>
      </c>
      <c r="D156" s="1219">
        <v>1</v>
      </c>
      <c r="E156" s="1219">
        <v>1</v>
      </c>
      <c r="F156" s="1217" t="s">
        <v>1497</v>
      </c>
      <c r="G156" s="1217" t="s">
        <v>1497</v>
      </c>
      <c r="H156" s="1217" t="s">
        <v>1456</v>
      </c>
      <c r="I156" s="1217"/>
      <c r="J156" s="1217" t="s">
        <v>1631</v>
      </c>
      <c r="K156" s="1217" t="s">
        <v>1631</v>
      </c>
    </row>
    <row r="157" spans="2:11" ht="44.25" customHeight="1" thickBot="1" x14ac:dyDescent="0.3">
      <c r="B157" s="1218" t="s">
        <v>1632</v>
      </c>
      <c r="C157" s="1218" t="s">
        <v>1632</v>
      </c>
      <c r="D157" s="1219">
        <v>1</v>
      </c>
      <c r="E157" s="1219">
        <v>1</v>
      </c>
      <c r="F157" s="1217" t="s">
        <v>1497</v>
      </c>
      <c r="G157" s="1217" t="s">
        <v>1497</v>
      </c>
      <c r="H157" s="1217" t="s">
        <v>1456</v>
      </c>
      <c r="I157" s="1217"/>
      <c r="J157" s="1217" t="s">
        <v>1633</v>
      </c>
      <c r="K157" s="1217" t="s">
        <v>1633</v>
      </c>
    </row>
    <row r="158" spans="2:11" ht="18.75" customHeight="1" thickBot="1" x14ac:dyDescent="0.3">
      <c r="B158" s="1218" t="s">
        <v>1634</v>
      </c>
      <c r="C158" s="1218" t="s">
        <v>1634</v>
      </c>
      <c r="D158" s="1219">
        <v>1</v>
      </c>
      <c r="E158" s="1219">
        <v>1</v>
      </c>
      <c r="F158" s="1217" t="s">
        <v>1497</v>
      </c>
      <c r="G158" s="1217" t="s">
        <v>1497</v>
      </c>
      <c r="H158" s="1217" t="s">
        <v>1456</v>
      </c>
      <c r="I158" s="1217"/>
      <c r="J158" s="1217" t="s">
        <v>1633</v>
      </c>
      <c r="K158" s="1217" t="s">
        <v>1633</v>
      </c>
    </row>
    <row r="159" spans="2:11" ht="18.75" customHeight="1" thickBot="1" x14ac:dyDescent="0.3">
      <c r="B159" s="1218" t="s">
        <v>1635</v>
      </c>
      <c r="C159" s="1218" t="s">
        <v>1635</v>
      </c>
      <c r="D159" s="1219">
        <v>1</v>
      </c>
      <c r="E159" s="1219">
        <v>1</v>
      </c>
      <c r="F159" s="1217" t="s">
        <v>1497</v>
      </c>
      <c r="G159" s="1217" t="s">
        <v>1497</v>
      </c>
      <c r="H159" s="1217" t="s">
        <v>1456</v>
      </c>
      <c r="I159" s="1217"/>
      <c r="J159" s="1217" t="s">
        <v>1636</v>
      </c>
      <c r="K159" s="1217" t="s">
        <v>1636</v>
      </c>
    </row>
    <row r="160" spans="2:11" ht="29.25" customHeight="1" thickBot="1" x14ac:dyDescent="0.3">
      <c r="B160" s="1218" t="s">
        <v>1637</v>
      </c>
      <c r="C160" s="1218" t="s">
        <v>1637</v>
      </c>
      <c r="D160" s="1219">
        <v>1</v>
      </c>
      <c r="E160" s="1219">
        <v>1</v>
      </c>
      <c r="F160" s="1217" t="s">
        <v>1497</v>
      </c>
      <c r="G160" s="1217" t="s">
        <v>1497</v>
      </c>
      <c r="H160" s="1217" t="s">
        <v>1456</v>
      </c>
      <c r="I160" s="1217"/>
      <c r="J160" s="1217" t="s">
        <v>1638</v>
      </c>
      <c r="K160" s="1217" t="s">
        <v>1638</v>
      </c>
    </row>
    <row r="161" spans="2:11" ht="29.25" customHeight="1" thickBot="1" x14ac:dyDescent="0.3">
      <c r="B161" s="1218" t="s">
        <v>1639</v>
      </c>
      <c r="C161" s="1218" t="s">
        <v>1639</v>
      </c>
      <c r="D161" s="1219">
        <v>1</v>
      </c>
      <c r="E161" s="1219">
        <v>1</v>
      </c>
      <c r="F161" s="1217" t="s">
        <v>1497</v>
      </c>
      <c r="G161" s="1217" t="s">
        <v>1497</v>
      </c>
      <c r="H161" s="1217" t="s">
        <v>1456</v>
      </c>
      <c r="I161" s="1217"/>
      <c r="J161" s="1217" t="s">
        <v>1562</v>
      </c>
      <c r="K161" s="1217" t="s">
        <v>1562</v>
      </c>
    </row>
    <row r="162" spans="2:11" ht="29.25" customHeight="1" thickBot="1" x14ac:dyDescent="0.3">
      <c r="B162" s="1218" t="s">
        <v>1640</v>
      </c>
      <c r="C162" s="1218" t="s">
        <v>1640</v>
      </c>
      <c r="D162" s="1219">
        <v>1</v>
      </c>
      <c r="E162" s="1219">
        <v>1</v>
      </c>
      <c r="F162" s="1217" t="s">
        <v>1497</v>
      </c>
      <c r="G162" s="1217" t="s">
        <v>1497</v>
      </c>
      <c r="H162" s="1217" t="s">
        <v>1456</v>
      </c>
      <c r="I162" s="1217"/>
      <c r="J162" s="1217" t="s">
        <v>1641</v>
      </c>
      <c r="K162" s="1217" t="s">
        <v>1641</v>
      </c>
    </row>
    <row r="163" spans="2:11" ht="18.75" customHeight="1" thickBot="1" x14ac:dyDescent="0.3">
      <c r="B163" s="1218" t="s">
        <v>1642</v>
      </c>
      <c r="C163" s="1218" t="s">
        <v>1642</v>
      </c>
      <c r="D163" s="1219">
        <v>1</v>
      </c>
      <c r="E163" s="1219">
        <v>1</v>
      </c>
      <c r="F163" s="1217" t="s">
        <v>1497</v>
      </c>
      <c r="G163" s="1217" t="s">
        <v>1497</v>
      </c>
      <c r="H163" s="1217" t="s">
        <v>1456</v>
      </c>
      <c r="I163" s="1217"/>
      <c r="J163" s="1217" t="s">
        <v>1643</v>
      </c>
      <c r="K163" s="1217" t="s">
        <v>1643</v>
      </c>
    </row>
    <row r="164" spans="2:11" ht="18.75" customHeight="1" thickBot="1" x14ac:dyDescent="0.3">
      <c r="B164" s="1218" t="s">
        <v>1644</v>
      </c>
      <c r="C164" s="1218" t="s">
        <v>1644</v>
      </c>
      <c r="D164" s="1219">
        <v>1</v>
      </c>
      <c r="E164" s="1219">
        <v>1</v>
      </c>
      <c r="F164" s="1217" t="s">
        <v>1497</v>
      </c>
      <c r="G164" s="1217" t="s">
        <v>1497</v>
      </c>
      <c r="H164" s="1217" t="s">
        <v>1456</v>
      </c>
      <c r="I164" s="1217"/>
      <c r="J164" s="1217" t="s">
        <v>1645</v>
      </c>
      <c r="K164" s="1217" t="s">
        <v>1645</v>
      </c>
    </row>
    <row r="165" spans="2:11" ht="27" customHeight="1" thickBot="1" x14ac:dyDescent="0.3">
      <c r="B165" s="1218" t="s">
        <v>1646</v>
      </c>
      <c r="C165" s="1218" t="s">
        <v>1646</v>
      </c>
      <c r="D165" s="1219">
        <v>1</v>
      </c>
      <c r="E165" s="1219">
        <v>1</v>
      </c>
      <c r="F165" s="1217" t="s">
        <v>1497</v>
      </c>
      <c r="G165" s="1217" t="s">
        <v>1497</v>
      </c>
      <c r="H165" s="1217" t="s">
        <v>1456</v>
      </c>
      <c r="I165" s="1217"/>
      <c r="J165" s="1217" t="s">
        <v>1568</v>
      </c>
      <c r="K165" s="1217" t="s">
        <v>1568</v>
      </c>
    </row>
    <row r="166" spans="2:11" ht="27" customHeight="1" thickBot="1" x14ac:dyDescent="0.3">
      <c r="B166" s="1218" t="s">
        <v>1647</v>
      </c>
      <c r="C166" s="1218" t="s">
        <v>1647</v>
      </c>
      <c r="D166" s="1219">
        <v>1</v>
      </c>
      <c r="E166" s="1219">
        <v>1</v>
      </c>
      <c r="F166" s="1217" t="s">
        <v>1497</v>
      </c>
      <c r="G166" s="1217" t="s">
        <v>1497</v>
      </c>
      <c r="H166" s="1217" t="s">
        <v>1456</v>
      </c>
      <c r="I166" s="1217"/>
      <c r="J166" s="1217" t="s">
        <v>1648</v>
      </c>
      <c r="K166" s="1217" t="s">
        <v>1648</v>
      </c>
    </row>
    <row r="167" spans="2:11" ht="18.75" customHeight="1" thickBot="1" x14ac:dyDescent="0.3">
      <c r="B167" s="1218" t="s">
        <v>1649</v>
      </c>
      <c r="C167" s="1218" t="s">
        <v>1649</v>
      </c>
      <c r="D167" s="1219">
        <v>1</v>
      </c>
      <c r="E167" s="1219">
        <v>1</v>
      </c>
      <c r="F167" s="1217" t="s">
        <v>1497</v>
      </c>
      <c r="G167" s="1217" t="s">
        <v>1497</v>
      </c>
      <c r="H167" s="1217" t="s">
        <v>1456</v>
      </c>
      <c r="I167" s="1217"/>
      <c r="J167" s="1217" t="s">
        <v>1650</v>
      </c>
      <c r="K167" s="1217" t="s">
        <v>1650</v>
      </c>
    </row>
    <row r="168" spans="2:11" ht="27" customHeight="1" thickBot="1" x14ac:dyDescent="0.3">
      <c r="B168" s="1218" t="s">
        <v>1651</v>
      </c>
      <c r="C168" s="1218" t="s">
        <v>1651</v>
      </c>
      <c r="D168" s="1219">
        <v>1</v>
      </c>
      <c r="E168" s="1219">
        <v>1</v>
      </c>
      <c r="F168" s="1217" t="s">
        <v>1497</v>
      </c>
      <c r="G168" s="1217" t="s">
        <v>1497</v>
      </c>
      <c r="H168" s="1217" t="s">
        <v>1456</v>
      </c>
      <c r="I168" s="1217"/>
      <c r="J168" s="1217" t="s">
        <v>1652</v>
      </c>
      <c r="K168" s="1217" t="s">
        <v>1652</v>
      </c>
    </row>
    <row r="169" spans="2:11" ht="27" customHeight="1" thickBot="1" x14ac:dyDescent="0.3">
      <c r="B169" s="1218" t="s">
        <v>1653</v>
      </c>
      <c r="C169" s="1218" t="s">
        <v>1653</v>
      </c>
      <c r="D169" s="1219">
        <v>1</v>
      </c>
      <c r="E169" s="1219">
        <v>1</v>
      </c>
      <c r="F169" s="1217" t="s">
        <v>1497</v>
      </c>
      <c r="G169" s="1217" t="s">
        <v>1497</v>
      </c>
      <c r="H169" s="1217" t="s">
        <v>1456</v>
      </c>
      <c r="I169" s="1217"/>
      <c r="J169" s="1217" t="s">
        <v>1574</v>
      </c>
      <c r="K169" s="1217" t="s">
        <v>1574</v>
      </c>
    </row>
    <row r="170" spans="2:11" ht="18.75" customHeight="1" thickBot="1" x14ac:dyDescent="0.3">
      <c r="B170" s="1218" t="s">
        <v>1654</v>
      </c>
      <c r="C170" s="1218" t="s">
        <v>1654</v>
      </c>
      <c r="D170" s="1219">
        <v>1</v>
      </c>
      <c r="E170" s="1219">
        <v>1</v>
      </c>
      <c r="F170" s="1217" t="s">
        <v>1497</v>
      </c>
      <c r="G170" s="1217" t="s">
        <v>1497</v>
      </c>
      <c r="H170" s="1217" t="s">
        <v>1456</v>
      </c>
      <c r="I170" s="1217"/>
      <c r="J170" s="1217" t="s">
        <v>1655</v>
      </c>
      <c r="K170" s="1217" t="s">
        <v>1655</v>
      </c>
    </row>
    <row r="171" spans="2:11" ht="18.75" customHeight="1" thickBot="1" x14ac:dyDescent="0.3">
      <c r="B171" s="1218" t="s">
        <v>1656</v>
      </c>
      <c r="C171" s="1218" t="s">
        <v>1656</v>
      </c>
      <c r="D171" s="1219">
        <v>1</v>
      </c>
      <c r="E171" s="1219">
        <v>1</v>
      </c>
      <c r="F171" s="1217" t="s">
        <v>1497</v>
      </c>
      <c r="G171" s="1217" t="s">
        <v>1497</v>
      </c>
      <c r="H171" s="1217" t="s">
        <v>1456</v>
      </c>
      <c r="I171" s="1217"/>
      <c r="J171" s="1217" t="s">
        <v>1655</v>
      </c>
      <c r="K171" s="1217" t="s">
        <v>1655</v>
      </c>
    </row>
    <row r="172" spans="2:11" ht="18.75" customHeight="1" thickBot="1" x14ac:dyDescent="0.3">
      <c r="B172" s="1218" t="s">
        <v>1657</v>
      </c>
      <c r="C172" s="1218" t="s">
        <v>1657</v>
      </c>
      <c r="D172" s="1219">
        <v>1</v>
      </c>
      <c r="E172" s="1219">
        <v>1</v>
      </c>
      <c r="F172" s="1217" t="s">
        <v>1497</v>
      </c>
      <c r="G172" s="1217" t="s">
        <v>1497</v>
      </c>
      <c r="H172" s="1217" t="s">
        <v>1456</v>
      </c>
      <c r="I172" s="1217"/>
      <c r="J172" s="1217" t="s">
        <v>1658</v>
      </c>
      <c r="K172" s="1217" t="s">
        <v>1658</v>
      </c>
    </row>
    <row r="173" spans="2:11" ht="18.75" customHeight="1" thickBot="1" x14ac:dyDescent="0.3">
      <c r="B173" s="1218" t="s">
        <v>1659</v>
      </c>
      <c r="C173" s="1218" t="s">
        <v>1659</v>
      </c>
      <c r="D173" s="1219">
        <v>1</v>
      </c>
      <c r="E173" s="1219">
        <v>1</v>
      </c>
      <c r="F173" s="1217" t="s">
        <v>1497</v>
      </c>
      <c r="G173" s="1217" t="s">
        <v>1497</v>
      </c>
      <c r="H173" s="1217" t="s">
        <v>1456</v>
      </c>
      <c r="I173" s="1217"/>
      <c r="J173" s="1217" t="s">
        <v>1660</v>
      </c>
      <c r="K173" s="1217" t="s">
        <v>1660</v>
      </c>
    </row>
    <row r="174" spans="2:11" ht="27.75" customHeight="1" thickBot="1" x14ac:dyDescent="0.3">
      <c r="B174" s="1218" t="s">
        <v>1661</v>
      </c>
      <c r="C174" s="1218" t="s">
        <v>1661</v>
      </c>
      <c r="D174" s="1219">
        <v>1</v>
      </c>
      <c r="E174" s="1219">
        <v>1</v>
      </c>
      <c r="F174" s="1217" t="s">
        <v>1497</v>
      </c>
      <c r="G174" s="1217" t="s">
        <v>1497</v>
      </c>
      <c r="H174" s="1217" t="s">
        <v>1456</v>
      </c>
      <c r="I174" s="1217"/>
      <c r="J174" s="1217" t="s">
        <v>1662</v>
      </c>
      <c r="K174" s="1217" t="s">
        <v>1662</v>
      </c>
    </row>
    <row r="175" spans="2:11" ht="27.75" customHeight="1" thickBot="1" x14ac:dyDescent="0.3">
      <c r="B175" s="1218" t="s">
        <v>1663</v>
      </c>
      <c r="C175" s="1218" t="s">
        <v>1663</v>
      </c>
      <c r="D175" s="1219">
        <v>1</v>
      </c>
      <c r="E175" s="1219">
        <v>1</v>
      </c>
      <c r="F175" s="1217" t="s">
        <v>1497</v>
      </c>
      <c r="G175" s="1217" t="s">
        <v>1497</v>
      </c>
      <c r="H175" s="1217" t="s">
        <v>1456</v>
      </c>
      <c r="I175" s="1217"/>
      <c r="J175" s="1217" t="s">
        <v>961</v>
      </c>
      <c r="K175" s="1217" t="s">
        <v>961</v>
      </c>
    </row>
    <row r="176" spans="2:11" ht="27.75" customHeight="1" thickBot="1" x14ac:dyDescent="0.3">
      <c r="B176" s="1218" t="s">
        <v>1664</v>
      </c>
      <c r="C176" s="1218" t="s">
        <v>1664</v>
      </c>
      <c r="D176" s="1219">
        <v>1</v>
      </c>
      <c r="E176" s="1219">
        <v>1</v>
      </c>
      <c r="F176" s="1217" t="s">
        <v>1497</v>
      </c>
      <c r="G176" s="1217" t="s">
        <v>1497</v>
      </c>
      <c r="H176" s="1217" t="s">
        <v>1456</v>
      </c>
      <c r="I176" s="1217"/>
      <c r="J176" s="1217" t="s">
        <v>961</v>
      </c>
      <c r="K176" s="1217" t="s">
        <v>961</v>
      </c>
    </row>
    <row r="177" spans="2:11" ht="27.75" customHeight="1" thickBot="1" x14ac:dyDescent="0.3">
      <c r="B177" s="1218" t="s">
        <v>1665</v>
      </c>
      <c r="C177" s="1218" t="s">
        <v>1665</v>
      </c>
      <c r="D177" s="1219">
        <v>1</v>
      </c>
      <c r="E177" s="1219">
        <v>1</v>
      </c>
      <c r="F177" s="1217" t="s">
        <v>1497</v>
      </c>
      <c r="G177" s="1217" t="s">
        <v>1497</v>
      </c>
      <c r="H177" s="1217" t="s">
        <v>1456</v>
      </c>
      <c r="I177" s="1217"/>
      <c r="J177" s="1217" t="s">
        <v>961</v>
      </c>
      <c r="K177" s="1217" t="s">
        <v>961</v>
      </c>
    </row>
    <row r="178" spans="2:11" ht="18.75" customHeight="1" thickBot="1" x14ac:dyDescent="0.3">
      <c r="B178" s="1218" t="s">
        <v>1666</v>
      </c>
      <c r="C178" s="1218" t="s">
        <v>1666</v>
      </c>
      <c r="D178" s="1219">
        <v>1</v>
      </c>
      <c r="E178" s="1219">
        <v>1</v>
      </c>
      <c r="F178" s="1217" t="s">
        <v>1497</v>
      </c>
      <c r="G178" s="1217" t="s">
        <v>1497</v>
      </c>
      <c r="H178" s="1217" t="s">
        <v>1456</v>
      </c>
      <c r="I178" s="1217"/>
      <c r="J178" s="1217" t="s">
        <v>961</v>
      </c>
      <c r="K178" s="1217" t="s">
        <v>961</v>
      </c>
    </row>
    <row r="179" spans="2:11" ht="18.75" customHeight="1" thickBot="1" x14ac:dyDescent="0.3">
      <c r="B179" s="1218" t="s">
        <v>1667</v>
      </c>
      <c r="C179" s="1218" t="s">
        <v>1667</v>
      </c>
      <c r="D179" s="1219">
        <v>1</v>
      </c>
      <c r="E179" s="1219">
        <v>1</v>
      </c>
      <c r="F179" s="1217" t="s">
        <v>1497</v>
      </c>
      <c r="G179" s="1217" t="s">
        <v>1497</v>
      </c>
      <c r="H179" s="1217" t="s">
        <v>1456</v>
      </c>
      <c r="I179" s="1217"/>
      <c r="J179" s="1217" t="s">
        <v>961</v>
      </c>
      <c r="K179" s="1217" t="s">
        <v>961</v>
      </c>
    </row>
    <row r="180" spans="2:11" ht="27" customHeight="1" thickBot="1" x14ac:dyDescent="0.3">
      <c r="B180" s="1218" t="s">
        <v>1668</v>
      </c>
      <c r="C180" s="1218" t="s">
        <v>1668</v>
      </c>
      <c r="D180" s="1219">
        <v>1</v>
      </c>
      <c r="E180" s="1219">
        <v>1</v>
      </c>
      <c r="F180" s="1217" t="s">
        <v>1497</v>
      </c>
      <c r="G180" s="1217" t="s">
        <v>1497</v>
      </c>
      <c r="H180" s="1217" t="s">
        <v>1456</v>
      </c>
      <c r="I180" s="1217"/>
      <c r="J180" s="1217" t="s">
        <v>961</v>
      </c>
      <c r="K180" s="1217" t="s">
        <v>961</v>
      </c>
    </row>
    <row r="181" spans="2:11" ht="18.75" customHeight="1" thickBot="1" x14ac:dyDescent="0.3">
      <c r="B181" s="1218" t="s">
        <v>1669</v>
      </c>
      <c r="C181" s="1218" t="s">
        <v>1669</v>
      </c>
      <c r="D181" s="1219">
        <v>1</v>
      </c>
      <c r="E181" s="1219">
        <v>1</v>
      </c>
      <c r="F181" s="1217" t="s">
        <v>1497</v>
      </c>
      <c r="G181" s="1217" t="s">
        <v>1497</v>
      </c>
      <c r="H181" s="1217" t="s">
        <v>1456</v>
      </c>
      <c r="I181" s="1217"/>
      <c r="J181" s="1217" t="s">
        <v>1670</v>
      </c>
      <c r="K181" s="1217" t="s">
        <v>1670</v>
      </c>
    </row>
    <row r="182" spans="2:11" ht="18.75" customHeight="1" thickBot="1" x14ac:dyDescent="0.3">
      <c r="B182" s="1218" t="s">
        <v>1671</v>
      </c>
      <c r="C182" s="1218" t="s">
        <v>1671</v>
      </c>
      <c r="D182" s="1219">
        <v>1</v>
      </c>
      <c r="E182" s="1219">
        <v>1</v>
      </c>
      <c r="F182" s="1217" t="s">
        <v>1497</v>
      </c>
      <c r="G182" s="1217" t="s">
        <v>1497</v>
      </c>
      <c r="H182" s="1217" t="s">
        <v>1456</v>
      </c>
      <c r="I182" s="1217"/>
      <c r="J182" s="1217" t="s">
        <v>1672</v>
      </c>
      <c r="K182" s="1217" t="s">
        <v>1672</v>
      </c>
    </row>
    <row r="183" spans="2:11" ht="26.25" customHeight="1" thickBot="1" x14ac:dyDescent="0.3">
      <c r="B183" s="1218" t="s">
        <v>1673</v>
      </c>
      <c r="C183" s="1218" t="s">
        <v>1673</v>
      </c>
      <c r="D183" s="1219">
        <v>1</v>
      </c>
      <c r="E183" s="1219">
        <v>1</v>
      </c>
      <c r="F183" s="1217" t="s">
        <v>1497</v>
      </c>
      <c r="G183" s="1217" t="s">
        <v>1497</v>
      </c>
      <c r="H183" s="1217" t="s">
        <v>1456</v>
      </c>
      <c r="I183" s="1217"/>
      <c r="J183" s="1217" t="s">
        <v>1674</v>
      </c>
      <c r="K183" s="1217" t="s">
        <v>1674</v>
      </c>
    </row>
    <row r="184" spans="2:11" ht="18.75" customHeight="1" thickBot="1" x14ac:dyDescent="0.3">
      <c r="B184" s="1218" t="s">
        <v>1675</v>
      </c>
      <c r="C184" s="1218" t="s">
        <v>1675</v>
      </c>
      <c r="D184" s="1219">
        <v>1</v>
      </c>
      <c r="E184" s="1219">
        <v>1</v>
      </c>
      <c r="F184" s="1217" t="s">
        <v>1497</v>
      </c>
      <c r="G184" s="1217" t="s">
        <v>1497</v>
      </c>
      <c r="H184" s="1217" t="s">
        <v>1456</v>
      </c>
      <c r="I184" s="1217"/>
      <c r="J184" s="1217" t="s">
        <v>962</v>
      </c>
      <c r="K184" s="1217" t="s">
        <v>962</v>
      </c>
    </row>
    <row r="185" spans="2:11" ht="29.25" customHeight="1" thickBot="1" x14ac:dyDescent="0.3">
      <c r="B185" s="1218" t="s">
        <v>1676</v>
      </c>
      <c r="C185" s="1218" t="s">
        <v>1676</v>
      </c>
      <c r="D185" s="1219">
        <v>1</v>
      </c>
      <c r="E185" s="1219">
        <v>1</v>
      </c>
      <c r="F185" s="1217" t="s">
        <v>1497</v>
      </c>
      <c r="G185" s="1217" t="s">
        <v>1497</v>
      </c>
      <c r="H185" s="1217" t="s">
        <v>1456</v>
      </c>
      <c r="I185" s="1217"/>
      <c r="J185" s="1217" t="s">
        <v>962</v>
      </c>
      <c r="K185" s="1217" t="s">
        <v>962</v>
      </c>
    </row>
    <row r="186" spans="2:11" ht="18.75" customHeight="1" thickBot="1" x14ac:dyDescent="0.3">
      <c r="B186" s="1218" t="s">
        <v>1677</v>
      </c>
      <c r="C186" s="1218" t="s">
        <v>1677</v>
      </c>
      <c r="D186" s="1219">
        <v>1</v>
      </c>
      <c r="E186" s="1219">
        <v>1</v>
      </c>
      <c r="F186" s="1217" t="s">
        <v>1497</v>
      </c>
      <c r="G186" s="1217" t="s">
        <v>1497</v>
      </c>
      <c r="H186" s="1217" t="s">
        <v>1456</v>
      </c>
      <c r="I186" s="1217"/>
      <c r="J186" s="1217" t="s">
        <v>962</v>
      </c>
      <c r="K186" s="1217" t="s">
        <v>962</v>
      </c>
    </row>
    <row r="187" spans="2:11" ht="18.75" customHeight="1" thickBot="1" x14ac:dyDescent="0.3">
      <c r="B187" s="1218" t="s">
        <v>1678</v>
      </c>
      <c r="C187" s="1218" t="s">
        <v>1678</v>
      </c>
      <c r="D187" s="1219">
        <v>1</v>
      </c>
      <c r="E187" s="1219">
        <v>1</v>
      </c>
      <c r="F187" s="1217" t="s">
        <v>1497</v>
      </c>
      <c r="G187" s="1217" t="s">
        <v>1497</v>
      </c>
      <c r="H187" s="1217" t="s">
        <v>1456</v>
      </c>
      <c r="I187" s="1217"/>
      <c r="J187" s="1217" t="s">
        <v>962</v>
      </c>
      <c r="K187" s="1217" t="s">
        <v>962</v>
      </c>
    </row>
    <row r="188" spans="2:11" ht="27.75" customHeight="1" thickBot="1" x14ac:dyDescent="0.3">
      <c r="B188" s="1218" t="s">
        <v>1679</v>
      </c>
      <c r="C188" s="1218" t="s">
        <v>1679</v>
      </c>
      <c r="D188" s="1219">
        <v>1</v>
      </c>
      <c r="E188" s="1219">
        <v>1</v>
      </c>
      <c r="F188" s="1217" t="s">
        <v>1497</v>
      </c>
      <c r="G188" s="1217" t="s">
        <v>1497</v>
      </c>
      <c r="H188" s="1217" t="s">
        <v>1456</v>
      </c>
      <c r="I188" s="1217"/>
      <c r="J188" s="1217" t="s">
        <v>962</v>
      </c>
      <c r="K188" s="1217" t="s">
        <v>962</v>
      </c>
    </row>
    <row r="189" spans="2:11" ht="18.75" customHeight="1" thickBot="1" x14ac:dyDescent="0.3">
      <c r="B189" s="1218" t="s">
        <v>1680</v>
      </c>
      <c r="C189" s="1218" t="s">
        <v>1680</v>
      </c>
      <c r="D189" s="1219">
        <v>1</v>
      </c>
      <c r="E189" s="1219">
        <v>1</v>
      </c>
      <c r="F189" s="1217" t="s">
        <v>1497</v>
      </c>
      <c r="G189" s="1217" t="s">
        <v>1497</v>
      </c>
      <c r="H189" s="1217" t="s">
        <v>1456</v>
      </c>
      <c r="I189" s="1217"/>
      <c r="J189" s="1217" t="s">
        <v>962</v>
      </c>
      <c r="K189" s="1217" t="s">
        <v>962</v>
      </c>
    </row>
    <row r="190" spans="2:11" ht="18.75" customHeight="1" thickBot="1" x14ac:dyDescent="0.3">
      <c r="B190" s="1218" t="s">
        <v>1681</v>
      </c>
      <c r="C190" s="1218" t="s">
        <v>1681</v>
      </c>
      <c r="D190" s="1219">
        <v>1</v>
      </c>
      <c r="E190" s="1219">
        <v>1</v>
      </c>
      <c r="F190" s="1217" t="s">
        <v>1497</v>
      </c>
      <c r="G190" s="1217" t="s">
        <v>1497</v>
      </c>
      <c r="H190" s="1217" t="s">
        <v>1456</v>
      </c>
      <c r="I190" s="1217"/>
      <c r="J190" s="1217" t="s">
        <v>962</v>
      </c>
      <c r="K190" s="1217" t="s">
        <v>962</v>
      </c>
    </row>
    <row r="191" spans="2:11" ht="18.75" customHeight="1" thickBot="1" x14ac:dyDescent="0.3">
      <c r="B191" s="1218" t="s">
        <v>1682</v>
      </c>
      <c r="C191" s="1218" t="s">
        <v>1682</v>
      </c>
      <c r="D191" s="1219">
        <v>1</v>
      </c>
      <c r="E191" s="1219">
        <v>1</v>
      </c>
      <c r="F191" s="1217" t="s">
        <v>1497</v>
      </c>
      <c r="G191" s="1217" t="s">
        <v>1497</v>
      </c>
      <c r="H191" s="1217" t="s">
        <v>1456</v>
      </c>
      <c r="I191" s="1217"/>
      <c r="J191" s="1217" t="s">
        <v>962</v>
      </c>
      <c r="K191" s="1217" t="s">
        <v>962</v>
      </c>
    </row>
    <row r="192" spans="2:11" ht="18.75" customHeight="1" thickBot="1" x14ac:dyDescent="0.3">
      <c r="B192" s="1218" t="s">
        <v>1683</v>
      </c>
      <c r="C192" s="1218" t="s">
        <v>1683</v>
      </c>
      <c r="D192" s="1219">
        <v>1</v>
      </c>
      <c r="E192" s="1219">
        <v>1</v>
      </c>
      <c r="F192" s="1217" t="s">
        <v>1497</v>
      </c>
      <c r="G192" s="1217" t="s">
        <v>1497</v>
      </c>
      <c r="H192" s="1217" t="s">
        <v>1456</v>
      </c>
      <c r="I192" s="1217"/>
      <c r="J192" s="1217" t="s">
        <v>962</v>
      </c>
      <c r="K192" s="1217" t="s">
        <v>962</v>
      </c>
    </row>
    <row r="193" spans="2:11" ht="31.5" customHeight="1" thickBot="1" x14ac:dyDescent="0.3">
      <c r="B193" s="1218" t="s">
        <v>1684</v>
      </c>
      <c r="C193" s="1218" t="s">
        <v>1684</v>
      </c>
      <c r="D193" s="1219">
        <v>1</v>
      </c>
      <c r="E193" s="1219">
        <v>1</v>
      </c>
      <c r="F193" s="1217" t="s">
        <v>1497</v>
      </c>
      <c r="G193" s="1217" t="s">
        <v>1497</v>
      </c>
      <c r="H193" s="1217" t="s">
        <v>1456</v>
      </c>
      <c r="I193" s="1217"/>
      <c r="J193" s="1217" t="s">
        <v>1394</v>
      </c>
      <c r="K193" s="1217" t="s">
        <v>1394</v>
      </c>
    </row>
    <row r="194" spans="2:11" ht="18.75" customHeight="1" thickBot="1" x14ac:dyDescent="0.3">
      <c r="B194" s="1218" t="s">
        <v>1685</v>
      </c>
      <c r="C194" s="1218" t="s">
        <v>1685</v>
      </c>
      <c r="D194" s="1219">
        <v>1</v>
      </c>
      <c r="E194" s="1219">
        <v>1</v>
      </c>
      <c r="F194" s="1217" t="s">
        <v>1497</v>
      </c>
      <c r="G194" s="1217" t="s">
        <v>1497</v>
      </c>
      <c r="H194" s="1217" t="s">
        <v>1456</v>
      </c>
      <c r="I194" s="1217"/>
      <c r="J194" s="1217" t="s">
        <v>1504</v>
      </c>
      <c r="K194" s="1217" t="s">
        <v>1504</v>
      </c>
    </row>
    <row r="195" spans="2:11" ht="30.75" customHeight="1" thickBot="1" x14ac:dyDescent="0.3">
      <c r="B195" s="1218" t="s">
        <v>1686</v>
      </c>
      <c r="C195" s="1218" t="s">
        <v>1686</v>
      </c>
      <c r="D195" s="1219">
        <v>1</v>
      </c>
      <c r="E195" s="1219">
        <v>1</v>
      </c>
      <c r="F195" s="1217" t="s">
        <v>1497</v>
      </c>
      <c r="G195" s="1217" t="s">
        <v>1497</v>
      </c>
      <c r="H195" s="1217" t="s">
        <v>1456</v>
      </c>
      <c r="I195" s="1217"/>
      <c r="J195" s="1217" t="s">
        <v>1504</v>
      </c>
      <c r="K195" s="1217" t="s">
        <v>1504</v>
      </c>
    </row>
    <row r="196" spans="2:11" ht="30.75" customHeight="1" thickBot="1" x14ac:dyDescent="0.3">
      <c r="B196" s="1218" t="s">
        <v>1687</v>
      </c>
      <c r="C196" s="1218" t="s">
        <v>1687</v>
      </c>
      <c r="D196" s="1219">
        <v>1</v>
      </c>
      <c r="E196" s="1219">
        <v>1</v>
      </c>
      <c r="F196" s="1217" t="s">
        <v>1497</v>
      </c>
      <c r="G196" s="1217" t="s">
        <v>1497</v>
      </c>
      <c r="H196" s="1217" t="s">
        <v>1456</v>
      </c>
      <c r="I196" s="1217"/>
      <c r="J196" s="1217" t="s">
        <v>1504</v>
      </c>
      <c r="K196" s="1217" t="s">
        <v>1504</v>
      </c>
    </row>
    <row r="197" spans="2:11" ht="18.75" customHeight="1" thickBot="1" x14ac:dyDescent="0.3">
      <c r="B197" s="1218" t="s">
        <v>1688</v>
      </c>
      <c r="C197" s="1218" t="s">
        <v>1688</v>
      </c>
      <c r="D197" s="1219">
        <v>1</v>
      </c>
      <c r="E197" s="1219">
        <v>1</v>
      </c>
      <c r="F197" s="1217" t="s">
        <v>1497</v>
      </c>
      <c r="G197" s="1217" t="s">
        <v>1497</v>
      </c>
      <c r="H197" s="1217" t="s">
        <v>1456</v>
      </c>
      <c r="I197" s="1217"/>
      <c r="J197" s="1217" t="s">
        <v>1504</v>
      </c>
      <c r="K197" s="1217" t="s">
        <v>1504</v>
      </c>
    </row>
    <row r="198" spans="2:11" ht="27" customHeight="1" thickBot="1" x14ac:dyDescent="0.3">
      <c r="B198" s="1218" t="s">
        <v>1689</v>
      </c>
      <c r="C198" s="1218" t="s">
        <v>1689</v>
      </c>
      <c r="D198" s="1219">
        <v>1</v>
      </c>
      <c r="E198" s="1219">
        <v>1</v>
      </c>
      <c r="F198" s="1217" t="s">
        <v>1497</v>
      </c>
      <c r="G198" s="1217" t="s">
        <v>1497</v>
      </c>
      <c r="H198" s="1217" t="s">
        <v>1456</v>
      </c>
      <c r="I198" s="1217"/>
      <c r="J198" s="1217" t="s">
        <v>1591</v>
      </c>
      <c r="K198" s="1217" t="s">
        <v>1591</v>
      </c>
    </row>
    <row r="199" spans="2:11" ht="27" customHeight="1" thickBot="1" x14ac:dyDescent="0.3">
      <c r="B199" s="1218" t="s">
        <v>1690</v>
      </c>
      <c r="C199" s="1218" t="s">
        <v>1690</v>
      </c>
      <c r="D199" s="1219">
        <v>1</v>
      </c>
      <c r="E199" s="1219">
        <v>1</v>
      </c>
      <c r="F199" s="1217" t="s">
        <v>1497</v>
      </c>
      <c r="G199" s="1217" t="s">
        <v>1497</v>
      </c>
      <c r="H199" s="1217" t="s">
        <v>1456</v>
      </c>
      <c r="I199" s="1217"/>
      <c r="J199" s="1217" t="s">
        <v>1591</v>
      </c>
      <c r="K199" s="1217" t="s">
        <v>1591</v>
      </c>
    </row>
    <row r="200" spans="2:11" ht="27" customHeight="1" thickBot="1" x14ac:dyDescent="0.3">
      <c r="B200" s="1218" t="s">
        <v>1691</v>
      </c>
      <c r="C200" s="1218" t="s">
        <v>1691</v>
      </c>
      <c r="D200" s="1219">
        <v>1</v>
      </c>
      <c r="E200" s="1219">
        <v>1</v>
      </c>
      <c r="F200" s="1217" t="s">
        <v>1497</v>
      </c>
      <c r="G200" s="1217" t="s">
        <v>1497</v>
      </c>
      <c r="H200" s="1217" t="s">
        <v>1456</v>
      </c>
      <c r="I200" s="1217"/>
      <c r="J200" s="1217" t="s">
        <v>1692</v>
      </c>
      <c r="K200" s="1217" t="s">
        <v>1692</v>
      </c>
    </row>
    <row r="201" spans="2:11" ht="18.75" customHeight="1" thickBot="1" x14ac:dyDescent="0.3">
      <c r="B201" s="1218" t="s">
        <v>1693</v>
      </c>
      <c r="C201" s="1218" t="s">
        <v>1693</v>
      </c>
      <c r="D201" s="1219">
        <v>1</v>
      </c>
      <c r="E201" s="1219">
        <v>1</v>
      </c>
      <c r="F201" s="1217" t="s">
        <v>1497</v>
      </c>
      <c r="G201" s="1217" t="s">
        <v>1497</v>
      </c>
      <c r="H201" s="1217" t="s">
        <v>1456</v>
      </c>
      <c r="I201" s="1217"/>
      <c r="J201" s="1217" t="s">
        <v>1692</v>
      </c>
      <c r="K201" s="1217" t="s">
        <v>1692</v>
      </c>
    </row>
    <row r="202" spans="2:11" ht="28.5" customHeight="1" thickBot="1" x14ac:dyDescent="0.3">
      <c r="B202" s="1218" t="s">
        <v>1694</v>
      </c>
      <c r="C202" s="1218" t="s">
        <v>1694</v>
      </c>
      <c r="D202" s="1219">
        <v>1</v>
      </c>
      <c r="E202" s="1219">
        <v>1</v>
      </c>
      <c r="F202" s="1217" t="s">
        <v>1497</v>
      </c>
      <c r="G202" s="1217" t="s">
        <v>1497</v>
      </c>
      <c r="H202" s="1217" t="s">
        <v>1456</v>
      </c>
      <c r="I202" s="1217"/>
      <c r="J202" s="1217" t="s">
        <v>1396</v>
      </c>
      <c r="K202" s="1217" t="s">
        <v>1396</v>
      </c>
    </row>
    <row r="203" spans="2:11" ht="18.75" customHeight="1" thickBot="1" x14ac:dyDescent="0.3">
      <c r="B203" s="1218" t="s">
        <v>1695</v>
      </c>
      <c r="C203" s="1218" t="s">
        <v>1695</v>
      </c>
      <c r="D203" s="1219">
        <v>1</v>
      </c>
      <c r="E203" s="1219">
        <v>1</v>
      </c>
      <c r="F203" s="1217" t="s">
        <v>1497</v>
      </c>
      <c r="G203" s="1217" t="s">
        <v>1497</v>
      </c>
      <c r="H203" s="1217" t="s">
        <v>1456</v>
      </c>
      <c r="I203" s="1217"/>
      <c r="J203" s="1217" t="s">
        <v>1696</v>
      </c>
      <c r="K203" s="1217" t="s">
        <v>1696</v>
      </c>
    </row>
    <row r="204" spans="2:11" ht="18.75" customHeight="1" thickBot="1" x14ac:dyDescent="0.3">
      <c r="B204" s="1218" t="s">
        <v>1697</v>
      </c>
      <c r="C204" s="1218" t="s">
        <v>1697</v>
      </c>
      <c r="D204" s="1219">
        <v>1</v>
      </c>
      <c r="E204" s="1219">
        <v>1</v>
      </c>
      <c r="F204" s="1217" t="s">
        <v>1497</v>
      </c>
      <c r="G204" s="1217" t="s">
        <v>1497</v>
      </c>
      <c r="H204" s="1217" t="s">
        <v>1456</v>
      </c>
      <c r="I204" s="1217"/>
      <c r="J204" s="1217" t="s">
        <v>1698</v>
      </c>
      <c r="K204" s="1217" t="s">
        <v>1698</v>
      </c>
    </row>
    <row r="205" spans="2:11" ht="18.75" customHeight="1" thickBot="1" x14ac:dyDescent="0.3">
      <c r="B205" s="1218" t="s">
        <v>1699</v>
      </c>
      <c r="C205" s="1218" t="s">
        <v>1699</v>
      </c>
      <c r="D205" s="1219">
        <v>1</v>
      </c>
      <c r="E205" s="1219">
        <v>1</v>
      </c>
      <c r="F205" s="1217" t="s">
        <v>1497</v>
      </c>
      <c r="G205" s="1217" t="s">
        <v>1497</v>
      </c>
      <c r="H205" s="1217" t="s">
        <v>1456</v>
      </c>
      <c r="I205" s="1217"/>
      <c r="J205" s="1217" t="s">
        <v>1524</v>
      </c>
      <c r="K205" s="1217" t="s">
        <v>1524</v>
      </c>
    </row>
    <row r="206" spans="2:11" ht="18.75" customHeight="1" thickBot="1" x14ac:dyDescent="0.3">
      <c r="B206" s="1218" t="s">
        <v>1700</v>
      </c>
      <c r="C206" s="1218" t="s">
        <v>1700</v>
      </c>
      <c r="D206" s="1219">
        <v>1</v>
      </c>
      <c r="E206" s="1219">
        <v>1</v>
      </c>
      <c r="F206" s="1217" t="s">
        <v>1497</v>
      </c>
      <c r="G206" s="1217" t="s">
        <v>1497</v>
      </c>
      <c r="H206" s="1217" t="s">
        <v>1456</v>
      </c>
      <c r="I206" s="1217"/>
      <c r="J206" s="1217" t="s">
        <v>1524</v>
      </c>
      <c r="K206" s="1217" t="s">
        <v>1524</v>
      </c>
    </row>
    <row r="207" spans="2:11" ht="27" customHeight="1" thickBot="1" x14ac:dyDescent="0.3">
      <c r="B207" s="1218" t="s">
        <v>1701</v>
      </c>
      <c r="C207" s="1218" t="s">
        <v>1701</v>
      </c>
      <c r="D207" s="1219">
        <v>1</v>
      </c>
      <c r="E207" s="1219">
        <v>1</v>
      </c>
      <c r="F207" s="1217" t="s">
        <v>1497</v>
      </c>
      <c r="G207" s="1217" t="s">
        <v>1497</v>
      </c>
      <c r="H207" s="1217" t="s">
        <v>1456</v>
      </c>
      <c r="I207" s="1217"/>
      <c r="J207" s="1217" t="s">
        <v>1702</v>
      </c>
      <c r="K207" s="1217" t="s">
        <v>1702</v>
      </c>
    </row>
    <row r="208" spans="2:11" ht="27" customHeight="1" thickBot="1" x14ac:dyDescent="0.3">
      <c r="B208" s="1218" t="s">
        <v>1703</v>
      </c>
      <c r="C208" s="1218" t="s">
        <v>1703</v>
      </c>
      <c r="D208" s="1219">
        <v>1</v>
      </c>
      <c r="E208" s="1219">
        <v>1</v>
      </c>
      <c r="F208" s="1217" t="s">
        <v>1497</v>
      </c>
      <c r="G208" s="1217" t="s">
        <v>1497</v>
      </c>
      <c r="H208" s="1217" t="s">
        <v>1456</v>
      </c>
      <c r="I208" s="1217"/>
      <c r="J208" s="1217" t="s">
        <v>1704</v>
      </c>
      <c r="K208" s="1217" t="s">
        <v>1704</v>
      </c>
    </row>
    <row r="209" spans="2:11" ht="27" customHeight="1" thickBot="1" x14ac:dyDescent="0.3">
      <c r="B209" s="1218" t="s">
        <v>1705</v>
      </c>
      <c r="C209" s="1218" t="s">
        <v>1705</v>
      </c>
      <c r="D209" s="1219">
        <v>1</v>
      </c>
      <c r="E209" s="1219">
        <v>1</v>
      </c>
      <c r="F209" s="1217" t="s">
        <v>1497</v>
      </c>
      <c r="G209" s="1217" t="s">
        <v>1497</v>
      </c>
      <c r="H209" s="1217" t="s">
        <v>1456</v>
      </c>
      <c r="I209" s="1217"/>
      <c r="J209" s="1217" t="s">
        <v>1599</v>
      </c>
      <c r="K209" s="1217" t="s">
        <v>1599</v>
      </c>
    </row>
    <row r="210" spans="2:11" ht="27" customHeight="1" thickBot="1" x14ac:dyDescent="0.3">
      <c r="B210" s="1218" t="s">
        <v>1706</v>
      </c>
      <c r="C210" s="1218" t="s">
        <v>1706</v>
      </c>
      <c r="D210" s="1219">
        <v>1</v>
      </c>
      <c r="E210" s="1219">
        <v>1</v>
      </c>
      <c r="F210" s="1217" t="s">
        <v>1497</v>
      </c>
      <c r="G210" s="1217" t="s">
        <v>1497</v>
      </c>
      <c r="H210" s="1217" t="s">
        <v>1456</v>
      </c>
      <c r="I210" s="1217"/>
      <c r="J210" s="1217" t="s">
        <v>1707</v>
      </c>
      <c r="K210" s="1217" t="s">
        <v>1707</v>
      </c>
    </row>
    <row r="211" spans="2:11" ht="18.75" customHeight="1" thickBot="1" x14ac:dyDescent="0.3">
      <c r="B211" s="1218" t="s">
        <v>1708</v>
      </c>
      <c r="C211" s="1218" t="s">
        <v>1708</v>
      </c>
      <c r="D211" s="1219">
        <v>1</v>
      </c>
      <c r="E211" s="1219">
        <v>1</v>
      </c>
      <c r="F211" s="1217" t="s">
        <v>1497</v>
      </c>
      <c r="G211" s="1217" t="s">
        <v>1497</v>
      </c>
      <c r="H211" s="1217" t="s">
        <v>1456</v>
      </c>
      <c r="I211" s="1217"/>
      <c r="J211" s="1217" t="s">
        <v>1709</v>
      </c>
      <c r="K211" s="1217" t="s">
        <v>1709</v>
      </c>
    </row>
    <row r="212" spans="2:11" ht="18.75" customHeight="1" thickBot="1" x14ac:dyDescent="0.3">
      <c r="B212" s="1218" t="s">
        <v>1710</v>
      </c>
      <c r="C212" s="1218" t="s">
        <v>1710</v>
      </c>
      <c r="D212" s="1219">
        <v>1</v>
      </c>
      <c r="E212" s="1219">
        <v>1</v>
      </c>
      <c r="F212" s="1217" t="s">
        <v>1497</v>
      </c>
      <c r="G212" s="1217" t="s">
        <v>1497</v>
      </c>
      <c r="H212" s="1217" t="s">
        <v>1456</v>
      </c>
      <c r="I212" s="1217"/>
      <c r="J212" s="1217" t="s">
        <v>1711</v>
      </c>
      <c r="K212" s="1217" t="s">
        <v>1711</v>
      </c>
    </row>
    <row r="213" spans="2:11" ht="43.5" customHeight="1" thickBot="1" x14ac:dyDescent="0.3">
      <c r="B213" s="1218" t="s">
        <v>1712</v>
      </c>
      <c r="C213" s="1218" t="s">
        <v>1712</v>
      </c>
      <c r="D213" s="1219">
        <v>1</v>
      </c>
      <c r="E213" s="1219">
        <v>1</v>
      </c>
      <c r="F213" s="1217" t="s">
        <v>1497</v>
      </c>
      <c r="G213" s="1217" t="s">
        <v>1497</v>
      </c>
      <c r="H213" s="1217" t="s">
        <v>1456</v>
      </c>
      <c r="I213" s="1217"/>
      <c r="J213" s="1217" t="s">
        <v>1713</v>
      </c>
      <c r="K213" s="1217" t="s">
        <v>1713</v>
      </c>
    </row>
    <row r="214" spans="2:11" ht="18.75" customHeight="1" thickBot="1" x14ac:dyDescent="0.3">
      <c r="B214" s="1218" t="s">
        <v>1714</v>
      </c>
      <c r="C214" s="1218" t="s">
        <v>1714</v>
      </c>
      <c r="D214" s="1219">
        <v>1</v>
      </c>
      <c r="E214" s="1219">
        <v>1</v>
      </c>
      <c r="F214" s="1217" t="s">
        <v>1497</v>
      </c>
      <c r="G214" s="1217" t="s">
        <v>1497</v>
      </c>
      <c r="H214" s="1217" t="s">
        <v>1456</v>
      </c>
      <c r="I214" s="1217"/>
      <c r="J214" s="1217" t="s">
        <v>1715</v>
      </c>
      <c r="K214" s="1217" t="s">
        <v>1715</v>
      </c>
    </row>
    <row r="215" spans="2:11" ht="18.75" customHeight="1" thickBot="1" x14ac:dyDescent="0.3">
      <c r="B215" s="1218" t="s">
        <v>1716</v>
      </c>
      <c r="C215" s="1218" t="s">
        <v>1716</v>
      </c>
      <c r="D215" s="1219">
        <v>1</v>
      </c>
      <c r="E215" s="1219">
        <v>1</v>
      </c>
      <c r="F215" s="1217" t="s">
        <v>1497</v>
      </c>
      <c r="G215" s="1217" t="s">
        <v>1497</v>
      </c>
      <c r="H215" s="1217" t="s">
        <v>1456</v>
      </c>
      <c r="I215" s="1217"/>
      <c r="J215" s="1217" t="s">
        <v>1605</v>
      </c>
      <c r="K215" s="1217" t="s">
        <v>1605</v>
      </c>
    </row>
    <row r="216" spans="2:11" ht="27" customHeight="1" thickBot="1" x14ac:dyDescent="0.3">
      <c r="B216" s="1218" t="s">
        <v>1717</v>
      </c>
      <c r="C216" s="1218" t="s">
        <v>1717</v>
      </c>
      <c r="D216" s="1219">
        <v>1</v>
      </c>
      <c r="E216" s="1219">
        <v>1</v>
      </c>
      <c r="F216" s="1217" t="s">
        <v>1497</v>
      </c>
      <c r="G216" s="1217" t="s">
        <v>1497</v>
      </c>
      <c r="H216" s="1217" t="s">
        <v>1456</v>
      </c>
      <c r="I216" s="1217"/>
      <c r="J216" s="1217" t="s">
        <v>1718</v>
      </c>
      <c r="K216" s="1217" t="s">
        <v>1718</v>
      </c>
    </row>
    <row r="217" spans="2:11" ht="27" customHeight="1" thickBot="1" x14ac:dyDescent="0.3">
      <c r="B217" s="1218" t="s">
        <v>1719</v>
      </c>
      <c r="C217" s="1218" t="s">
        <v>1719</v>
      </c>
      <c r="D217" s="1219">
        <v>1</v>
      </c>
      <c r="E217" s="1219">
        <v>1</v>
      </c>
      <c r="F217" s="1217" t="s">
        <v>1497</v>
      </c>
      <c r="G217" s="1217" t="s">
        <v>1497</v>
      </c>
      <c r="H217" s="1217" t="s">
        <v>1456</v>
      </c>
      <c r="I217" s="1217"/>
      <c r="J217" s="1217" t="s">
        <v>1720</v>
      </c>
      <c r="K217" s="1217" t="s">
        <v>1720</v>
      </c>
    </row>
    <row r="218" spans="2:11" ht="18.75" customHeight="1" thickBot="1" x14ac:dyDescent="0.3">
      <c r="B218" s="1218" t="s">
        <v>1721</v>
      </c>
      <c r="C218" s="1218" t="s">
        <v>1721</v>
      </c>
      <c r="D218" s="1219">
        <v>1</v>
      </c>
      <c r="E218" s="1219">
        <v>1</v>
      </c>
      <c r="F218" s="1217" t="s">
        <v>1497</v>
      </c>
      <c r="G218" s="1217" t="s">
        <v>1497</v>
      </c>
      <c r="H218" s="1217" t="s">
        <v>1456</v>
      </c>
      <c r="I218" s="1217"/>
      <c r="J218" s="1217" t="s">
        <v>1720</v>
      </c>
      <c r="K218" s="1217" t="s">
        <v>1720</v>
      </c>
    </row>
    <row r="219" spans="2:11" ht="24.75" customHeight="1" thickBot="1" x14ac:dyDescent="0.3">
      <c r="B219" s="1218" t="s">
        <v>1722</v>
      </c>
      <c r="C219" s="1218" t="s">
        <v>1722</v>
      </c>
      <c r="D219" s="1219">
        <v>1</v>
      </c>
      <c r="E219" s="1219">
        <v>1</v>
      </c>
      <c r="F219" s="1217" t="s">
        <v>1497</v>
      </c>
      <c r="G219" s="1217" t="s">
        <v>1497</v>
      </c>
      <c r="H219" s="1217" t="s">
        <v>1456</v>
      </c>
      <c r="I219" s="1217"/>
      <c r="J219" s="1217" t="s">
        <v>1720</v>
      </c>
      <c r="K219" s="1217" t="s">
        <v>1720</v>
      </c>
    </row>
    <row r="220" spans="2:11" ht="24.75" customHeight="1" thickBot="1" x14ac:dyDescent="0.3">
      <c r="B220" s="1218" t="s">
        <v>1723</v>
      </c>
      <c r="C220" s="1218" t="s">
        <v>1723</v>
      </c>
      <c r="D220" s="1219">
        <v>1</v>
      </c>
      <c r="E220" s="1219">
        <v>1</v>
      </c>
      <c r="F220" s="1217" t="s">
        <v>1497</v>
      </c>
      <c r="G220" s="1217" t="s">
        <v>1497</v>
      </c>
      <c r="H220" s="1217" t="s">
        <v>1456</v>
      </c>
      <c r="I220" s="1217"/>
      <c r="J220" s="1217" t="s">
        <v>1506</v>
      </c>
      <c r="K220" s="1217" t="s">
        <v>1506</v>
      </c>
    </row>
    <row r="221" spans="2:11" ht="24" customHeight="1" thickBot="1" x14ac:dyDescent="0.3">
      <c r="B221" s="1218" t="s">
        <v>1724</v>
      </c>
      <c r="C221" s="1218" t="s">
        <v>1724</v>
      </c>
      <c r="D221" s="1219">
        <v>1</v>
      </c>
      <c r="E221" s="1219">
        <v>1</v>
      </c>
      <c r="F221" s="1217" t="s">
        <v>1497</v>
      </c>
      <c r="G221" s="1217" t="s">
        <v>1497</v>
      </c>
      <c r="H221" s="1217" t="s">
        <v>1456</v>
      </c>
      <c r="I221" s="1217"/>
      <c r="J221" s="1217" t="s">
        <v>1506</v>
      </c>
      <c r="K221" s="1217" t="s">
        <v>1506</v>
      </c>
    </row>
    <row r="222" spans="2:11" ht="24" customHeight="1" thickBot="1" x14ac:dyDescent="0.3">
      <c r="B222" s="1218" t="s">
        <v>1725</v>
      </c>
      <c r="C222" s="1218" t="s">
        <v>1725</v>
      </c>
      <c r="D222" s="1219">
        <v>1</v>
      </c>
      <c r="E222" s="1219">
        <v>1</v>
      </c>
      <c r="F222" s="1217" t="s">
        <v>1497</v>
      </c>
      <c r="G222" s="1217" t="s">
        <v>1497</v>
      </c>
      <c r="H222" s="1217" t="s">
        <v>1456</v>
      </c>
      <c r="I222" s="1217"/>
      <c r="J222" s="1217" t="s">
        <v>1726</v>
      </c>
      <c r="K222" s="1217" t="s">
        <v>1726</v>
      </c>
    </row>
    <row r="223" spans="2:11" ht="25.5" customHeight="1" thickBot="1" x14ac:dyDescent="0.3">
      <c r="B223" s="1218" t="s">
        <v>1727</v>
      </c>
      <c r="C223" s="1218" t="s">
        <v>1727</v>
      </c>
      <c r="D223" s="1219">
        <v>1</v>
      </c>
      <c r="E223" s="1219">
        <v>1</v>
      </c>
      <c r="F223" s="1217" t="s">
        <v>1497</v>
      </c>
      <c r="G223" s="1217" t="s">
        <v>1497</v>
      </c>
      <c r="H223" s="1217" t="s">
        <v>1456</v>
      </c>
      <c r="I223" s="1217"/>
      <c r="J223" s="1217" t="s">
        <v>1728</v>
      </c>
      <c r="K223" s="1217" t="s">
        <v>1728</v>
      </c>
    </row>
    <row r="224" spans="2:11" ht="30.75" customHeight="1" thickBot="1" x14ac:dyDescent="0.3">
      <c r="B224" s="1218" t="s">
        <v>1729</v>
      </c>
      <c r="C224" s="1218" t="s">
        <v>1729</v>
      </c>
      <c r="D224" s="1219">
        <v>1</v>
      </c>
      <c r="E224" s="1219">
        <v>1</v>
      </c>
      <c r="F224" s="1217" t="s">
        <v>1497</v>
      </c>
      <c r="G224" s="1217" t="s">
        <v>1497</v>
      </c>
      <c r="H224" s="1217" t="s">
        <v>1456</v>
      </c>
      <c r="I224" s="1217"/>
      <c r="J224" s="1217" t="s">
        <v>1730</v>
      </c>
      <c r="K224" s="1217" t="s">
        <v>1730</v>
      </c>
    </row>
    <row r="225" spans="2:11" ht="26.25" customHeight="1" thickBot="1" x14ac:dyDescent="0.3">
      <c r="B225" s="1218" t="s">
        <v>1731</v>
      </c>
      <c r="C225" s="1218" t="s">
        <v>1731</v>
      </c>
      <c r="D225" s="1219">
        <v>11</v>
      </c>
      <c r="E225" s="1219">
        <v>11</v>
      </c>
      <c r="F225" s="1217" t="s">
        <v>1732</v>
      </c>
      <c r="G225" s="1217" t="s">
        <v>1733</v>
      </c>
      <c r="H225" s="1217" t="s">
        <v>1734</v>
      </c>
      <c r="I225" s="1217"/>
      <c r="J225" s="1217" t="s">
        <v>1498</v>
      </c>
      <c r="K225" s="1217" t="s">
        <v>1498</v>
      </c>
    </row>
    <row r="226" spans="2:11" ht="21.75" customHeight="1" thickBot="1" x14ac:dyDescent="0.3">
      <c r="B226" s="1218" t="s">
        <v>1735</v>
      </c>
      <c r="C226" s="1218" t="s">
        <v>1735</v>
      </c>
      <c r="D226" s="1219">
        <v>4</v>
      </c>
      <c r="E226" s="1219">
        <v>4</v>
      </c>
      <c r="F226" s="1217" t="s">
        <v>1732</v>
      </c>
      <c r="G226" s="1217" t="s">
        <v>1733</v>
      </c>
      <c r="H226" s="1217" t="s">
        <v>1734</v>
      </c>
      <c r="I226" s="1217"/>
      <c r="J226" s="1217" t="s">
        <v>1736</v>
      </c>
      <c r="K226" s="1217" t="s">
        <v>1736</v>
      </c>
    </row>
    <row r="227" spans="2:11" ht="31.5" customHeight="1" thickBot="1" x14ac:dyDescent="0.3">
      <c r="B227" s="1218" t="s">
        <v>1737</v>
      </c>
      <c r="C227" s="1218" t="s">
        <v>1737</v>
      </c>
      <c r="D227" s="1219">
        <v>4</v>
      </c>
      <c r="E227" s="1219">
        <v>4</v>
      </c>
      <c r="F227" s="1217" t="s">
        <v>1732</v>
      </c>
      <c r="G227" s="1217" t="s">
        <v>1733</v>
      </c>
      <c r="H227" s="1217" t="s">
        <v>1734</v>
      </c>
      <c r="I227" s="1217"/>
      <c r="J227" s="1217" t="s">
        <v>1506</v>
      </c>
      <c r="K227" s="1217" t="s">
        <v>1506</v>
      </c>
    </row>
    <row r="228" spans="2:11" ht="15.75" customHeight="1" thickBot="1" x14ac:dyDescent="0.3">
      <c r="B228" s="1218" t="s">
        <v>1616</v>
      </c>
      <c r="C228" s="1218" t="s">
        <v>1616</v>
      </c>
      <c r="D228" s="1219">
        <v>3</v>
      </c>
      <c r="E228" s="1219">
        <v>3</v>
      </c>
      <c r="F228" s="1217" t="s">
        <v>1732</v>
      </c>
      <c r="G228" s="1217" t="s">
        <v>1733</v>
      </c>
      <c r="H228" s="1217" t="s">
        <v>1734</v>
      </c>
      <c r="I228" s="1217"/>
      <c r="J228" s="1217" t="s">
        <v>1617</v>
      </c>
      <c r="K228" s="1217" t="s">
        <v>1617</v>
      </c>
    </row>
    <row r="229" spans="2:11" ht="15.75" customHeight="1" thickBot="1" x14ac:dyDescent="0.3">
      <c r="B229" s="1218" t="s">
        <v>1618</v>
      </c>
      <c r="C229" s="1218" t="s">
        <v>1618</v>
      </c>
      <c r="D229" s="1219">
        <v>3</v>
      </c>
      <c r="E229" s="1219">
        <v>3</v>
      </c>
      <c r="F229" s="1217" t="s">
        <v>1732</v>
      </c>
      <c r="G229" s="1217" t="s">
        <v>1733</v>
      </c>
      <c r="H229" s="1217" t="s">
        <v>1734</v>
      </c>
      <c r="I229" s="1217"/>
      <c r="J229" s="1217" t="s">
        <v>1619</v>
      </c>
      <c r="K229" s="1217" t="s">
        <v>1619</v>
      </c>
    </row>
    <row r="230" spans="2:11" ht="15.75" customHeight="1" thickBot="1" x14ac:dyDescent="0.3">
      <c r="B230" s="1218" t="s">
        <v>1738</v>
      </c>
      <c r="C230" s="1218" t="s">
        <v>1738</v>
      </c>
      <c r="D230" s="1219">
        <v>3</v>
      </c>
      <c r="E230" s="1219">
        <v>3</v>
      </c>
      <c r="F230" s="1217" t="s">
        <v>1732</v>
      </c>
      <c r="G230" s="1217" t="s">
        <v>1733</v>
      </c>
      <c r="H230" s="1217" t="s">
        <v>1734</v>
      </c>
      <c r="I230" s="1217"/>
      <c r="J230" s="1217" t="s">
        <v>1534</v>
      </c>
      <c r="K230" s="1217" t="s">
        <v>1534</v>
      </c>
    </row>
    <row r="231" spans="2:11" ht="15.75" customHeight="1" thickBot="1" x14ac:dyDescent="0.3">
      <c r="B231" s="1218" t="s">
        <v>1499</v>
      </c>
      <c r="C231" s="1218" t="s">
        <v>1499</v>
      </c>
      <c r="D231" s="1219">
        <v>3</v>
      </c>
      <c r="E231" s="1219">
        <v>3</v>
      </c>
      <c r="F231" s="1217" t="s">
        <v>1739</v>
      </c>
      <c r="G231" s="1217" t="s">
        <v>1740</v>
      </c>
      <c r="H231" s="1217" t="s">
        <v>1734</v>
      </c>
      <c r="I231" s="1217"/>
      <c r="J231" s="1217" t="s">
        <v>1500</v>
      </c>
      <c r="K231" s="1217" t="s">
        <v>1500</v>
      </c>
    </row>
    <row r="232" spans="2:11" ht="15.75" customHeight="1" thickBot="1" x14ac:dyDescent="0.3">
      <c r="B232" s="1218" t="s">
        <v>1741</v>
      </c>
      <c r="C232" s="1218" t="s">
        <v>1741</v>
      </c>
      <c r="D232" s="1219">
        <v>3</v>
      </c>
      <c r="E232" s="1219">
        <v>3</v>
      </c>
      <c r="F232" s="1217" t="s">
        <v>1732</v>
      </c>
      <c r="G232" s="1217" t="s">
        <v>1733</v>
      </c>
      <c r="H232" s="1217" t="s">
        <v>1734</v>
      </c>
      <c r="I232" s="1217"/>
      <c r="J232" s="1217" t="s">
        <v>1742</v>
      </c>
      <c r="K232" s="1217" t="s">
        <v>1742</v>
      </c>
    </row>
    <row r="233" spans="2:11" ht="15.75" customHeight="1" thickBot="1" x14ac:dyDescent="0.3">
      <c r="B233" s="1218" t="s">
        <v>1743</v>
      </c>
      <c r="C233" s="1218" t="s">
        <v>1743</v>
      </c>
      <c r="D233" s="1219">
        <v>2</v>
      </c>
      <c r="E233" s="1219">
        <v>2</v>
      </c>
      <c r="F233" s="1217" t="s">
        <v>1732</v>
      </c>
      <c r="G233" s="1217" t="s">
        <v>1733</v>
      </c>
      <c r="H233" s="1217" t="s">
        <v>1734</v>
      </c>
      <c r="I233" s="1217"/>
      <c r="J233" s="1217" t="s">
        <v>1744</v>
      </c>
      <c r="K233" s="1217" t="s">
        <v>1744</v>
      </c>
    </row>
    <row r="234" spans="2:11" ht="15.75" customHeight="1" thickBot="1" x14ac:dyDescent="0.3">
      <c r="B234" s="1218" t="s">
        <v>1745</v>
      </c>
      <c r="C234" s="1218" t="s">
        <v>1745</v>
      </c>
      <c r="D234" s="1219">
        <v>2</v>
      </c>
      <c r="E234" s="1219">
        <v>2</v>
      </c>
      <c r="F234" s="1217" t="s">
        <v>1732</v>
      </c>
      <c r="G234" s="1217" t="s">
        <v>1733</v>
      </c>
      <c r="H234" s="1217" t="s">
        <v>1734</v>
      </c>
      <c r="I234" s="1217"/>
      <c r="J234" s="1217" t="s">
        <v>1746</v>
      </c>
      <c r="K234" s="1217" t="s">
        <v>1746</v>
      </c>
    </row>
    <row r="235" spans="2:11" ht="15.75" customHeight="1" thickBot="1" x14ac:dyDescent="0.3">
      <c r="B235" s="1218" t="s">
        <v>1747</v>
      </c>
      <c r="C235" s="1218" t="s">
        <v>1747</v>
      </c>
      <c r="D235" s="1219">
        <v>2</v>
      </c>
      <c r="E235" s="1219">
        <v>2</v>
      </c>
      <c r="F235" s="1217" t="s">
        <v>1732</v>
      </c>
      <c r="G235" s="1217" t="s">
        <v>1733</v>
      </c>
      <c r="H235" s="1217" t="s">
        <v>1734</v>
      </c>
      <c r="I235" s="1217"/>
      <c r="J235" s="1217" t="s">
        <v>1564</v>
      </c>
      <c r="K235" s="1217" t="s">
        <v>1564</v>
      </c>
    </row>
    <row r="236" spans="2:11" ht="15.75" customHeight="1" thickBot="1" x14ac:dyDescent="0.3">
      <c r="B236" s="1218" t="s">
        <v>1748</v>
      </c>
      <c r="C236" s="1218" t="s">
        <v>1748</v>
      </c>
      <c r="D236" s="1219">
        <v>2</v>
      </c>
      <c r="E236" s="1219">
        <v>2</v>
      </c>
      <c r="F236" s="1217" t="s">
        <v>1732</v>
      </c>
      <c r="G236" s="1217" t="s">
        <v>1733</v>
      </c>
      <c r="H236" s="1217" t="s">
        <v>1734</v>
      </c>
      <c r="I236" s="1217"/>
      <c r="J236" s="1217" t="s">
        <v>1749</v>
      </c>
      <c r="K236" s="1217" t="s">
        <v>1749</v>
      </c>
    </row>
    <row r="237" spans="2:11" ht="15.75" customHeight="1" thickBot="1" x14ac:dyDescent="0.3">
      <c r="B237" s="1218" t="s">
        <v>1750</v>
      </c>
      <c r="C237" s="1218" t="s">
        <v>1750</v>
      </c>
      <c r="D237" s="1219">
        <v>2</v>
      </c>
      <c r="E237" s="1219">
        <v>2</v>
      </c>
      <c r="F237" s="1217" t="s">
        <v>1732</v>
      </c>
      <c r="G237" s="1217" t="s">
        <v>1733</v>
      </c>
      <c r="H237" s="1217" t="s">
        <v>1734</v>
      </c>
      <c r="I237" s="1217"/>
      <c r="J237" s="1217" t="s">
        <v>1751</v>
      </c>
      <c r="K237" s="1217" t="s">
        <v>1751</v>
      </c>
    </row>
    <row r="238" spans="2:11" ht="15.75" customHeight="1" thickBot="1" x14ac:dyDescent="0.3">
      <c r="B238" s="1218" t="s">
        <v>1752</v>
      </c>
      <c r="C238" s="1218" t="s">
        <v>1752</v>
      </c>
      <c r="D238" s="1219">
        <v>2</v>
      </c>
      <c r="E238" s="1219">
        <v>2</v>
      </c>
      <c r="F238" s="1217" t="s">
        <v>1732</v>
      </c>
      <c r="G238" s="1217" t="s">
        <v>1733</v>
      </c>
      <c r="H238" s="1217" t="s">
        <v>1734</v>
      </c>
      <c r="I238" s="1217"/>
      <c r="J238" s="1217" t="s">
        <v>1753</v>
      </c>
      <c r="K238" s="1217" t="s">
        <v>1753</v>
      </c>
    </row>
    <row r="239" spans="2:11" ht="15.75" customHeight="1" thickBot="1" x14ac:dyDescent="0.3">
      <c r="B239" s="1218" t="s">
        <v>1754</v>
      </c>
      <c r="C239" s="1218" t="s">
        <v>1754</v>
      </c>
      <c r="D239" s="1219">
        <v>2</v>
      </c>
      <c r="E239" s="1219">
        <v>2</v>
      </c>
      <c r="F239" s="1217" t="s">
        <v>1739</v>
      </c>
      <c r="G239" s="1217" t="s">
        <v>1740</v>
      </c>
      <c r="H239" s="1217" t="s">
        <v>1734</v>
      </c>
      <c r="I239" s="1217"/>
      <c r="J239" s="1217" t="s">
        <v>1755</v>
      </c>
      <c r="K239" s="1217" t="s">
        <v>1755</v>
      </c>
    </row>
    <row r="240" spans="2:11" ht="15.75" customHeight="1" thickBot="1" x14ac:dyDescent="0.3">
      <c r="B240" s="1218" t="s">
        <v>1756</v>
      </c>
      <c r="C240" s="1218" t="s">
        <v>1756</v>
      </c>
      <c r="D240" s="1219">
        <v>2</v>
      </c>
      <c r="E240" s="1219">
        <v>2</v>
      </c>
      <c r="F240" s="1217" t="s">
        <v>1739</v>
      </c>
      <c r="G240" s="1217" t="s">
        <v>1740</v>
      </c>
      <c r="H240" s="1217" t="s">
        <v>1734</v>
      </c>
      <c r="I240" s="1217"/>
      <c r="J240" s="1217" t="s">
        <v>1757</v>
      </c>
      <c r="K240" s="1217" t="s">
        <v>1757</v>
      </c>
    </row>
    <row r="241" spans="2:11" ht="15.75" customHeight="1" thickBot="1" x14ac:dyDescent="0.3">
      <c r="B241" s="1218" t="s">
        <v>1758</v>
      </c>
      <c r="C241" s="1218" t="s">
        <v>1758</v>
      </c>
      <c r="D241" s="1219">
        <v>2</v>
      </c>
      <c r="E241" s="1219">
        <v>2</v>
      </c>
      <c r="F241" s="1217" t="s">
        <v>1732</v>
      </c>
      <c r="G241" s="1217" t="s">
        <v>1733</v>
      </c>
      <c r="H241" s="1217" t="s">
        <v>1734</v>
      </c>
      <c r="I241" s="1217"/>
      <c r="J241" s="1217" t="s">
        <v>961</v>
      </c>
      <c r="K241" s="1217" t="s">
        <v>961</v>
      </c>
    </row>
    <row r="242" spans="2:11" ht="15.75" customHeight="1" thickBot="1" x14ac:dyDescent="0.3">
      <c r="B242" s="1218" t="s">
        <v>1759</v>
      </c>
      <c r="C242" s="1218" t="s">
        <v>1759</v>
      </c>
      <c r="D242" s="1219">
        <v>2</v>
      </c>
      <c r="E242" s="1219">
        <v>2</v>
      </c>
      <c r="F242" s="1217" t="s">
        <v>1732</v>
      </c>
      <c r="G242" s="1217" t="s">
        <v>1733</v>
      </c>
      <c r="H242" s="1217" t="s">
        <v>1734</v>
      </c>
      <c r="I242" s="1217"/>
      <c r="J242" s="1217" t="s">
        <v>1672</v>
      </c>
      <c r="K242" s="1217" t="s">
        <v>1672</v>
      </c>
    </row>
    <row r="243" spans="2:11" ht="15.75" customHeight="1" thickBot="1" x14ac:dyDescent="0.3">
      <c r="B243" s="1218" t="s">
        <v>1760</v>
      </c>
      <c r="C243" s="1218" t="s">
        <v>1760</v>
      </c>
      <c r="D243" s="1219">
        <v>2</v>
      </c>
      <c r="E243" s="1219">
        <v>2</v>
      </c>
      <c r="F243" s="1217" t="s">
        <v>1732</v>
      </c>
      <c r="G243" s="1217" t="s">
        <v>1733</v>
      </c>
      <c r="H243" s="1217" t="s">
        <v>1734</v>
      </c>
      <c r="I243" s="1217"/>
      <c r="J243" s="1217" t="s">
        <v>962</v>
      </c>
      <c r="K243" s="1217" t="s">
        <v>962</v>
      </c>
    </row>
    <row r="244" spans="2:11" ht="15.75" customHeight="1" thickBot="1" x14ac:dyDescent="0.3">
      <c r="B244" s="1218" t="s">
        <v>1761</v>
      </c>
      <c r="C244" s="1218" t="s">
        <v>1761</v>
      </c>
      <c r="D244" s="1219">
        <v>2</v>
      </c>
      <c r="E244" s="1219">
        <v>2</v>
      </c>
      <c r="F244" s="1217" t="s">
        <v>1732</v>
      </c>
      <c r="G244" s="1217" t="s">
        <v>1733</v>
      </c>
      <c r="H244" s="1217" t="s">
        <v>1734</v>
      </c>
      <c r="I244" s="1217"/>
      <c r="J244" s="1217" t="s">
        <v>1132</v>
      </c>
      <c r="K244" s="1217" t="s">
        <v>1132</v>
      </c>
    </row>
    <row r="245" spans="2:11" ht="15.75" customHeight="1" thickBot="1" x14ac:dyDescent="0.3">
      <c r="B245" s="1218" t="s">
        <v>1762</v>
      </c>
      <c r="C245" s="1218" t="s">
        <v>1762</v>
      </c>
      <c r="D245" s="1219">
        <v>2</v>
      </c>
      <c r="E245" s="1219">
        <v>2</v>
      </c>
      <c r="F245" s="1217" t="s">
        <v>1732</v>
      </c>
      <c r="G245" s="1217" t="s">
        <v>1733</v>
      </c>
      <c r="H245" s="1217" t="s">
        <v>1734</v>
      </c>
      <c r="I245" s="1217"/>
      <c r="J245" s="1217" t="s">
        <v>1704</v>
      </c>
      <c r="K245" s="1217" t="s">
        <v>1704</v>
      </c>
    </row>
    <row r="246" spans="2:11" ht="15.75" customHeight="1" thickBot="1" x14ac:dyDescent="0.3">
      <c r="B246" s="1218" t="s">
        <v>1763</v>
      </c>
      <c r="C246" s="1218" t="s">
        <v>1763</v>
      </c>
      <c r="D246" s="1219">
        <v>2</v>
      </c>
      <c r="E246" s="1219">
        <v>2</v>
      </c>
      <c r="F246" s="1217" t="s">
        <v>1732</v>
      </c>
      <c r="G246" s="1217" t="s">
        <v>1733</v>
      </c>
      <c r="H246" s="1217" t="s">
        <v>1734</v>
      </c>
      <c r="I246" s="1217"/>
      <c r="J246" s="1217" t="s">
        <v>1764</v>
      </c>
      <c r="K246" s="1217" t="s">
        <v>1764</v>
      </c>
    </row>
    <row r="247" spans="2:11" ht="15.75" customHeight="1" thickBot="1" x14ac:dyDescent="0.3">
      <c r="B247" s="1218" t="s">
        <v>1765</v>
      </c>
      <c r="C247" s="1218" t="s">
        <v>1765</v>
      </c>
      <c r="D247" s="1219">
        <v>2</v>
      </c>
      <c r="E247" s="1219">
        <v>2</v>
      </c>
      <c r="F247" s="1217" t="s">
        <v>1732</v>
      </c>
      <c r="G247" s="1217" t="s">
        <v>1733</v>
      </c>
      <c r="H247" s="1217" t="s">
        <v>1734</v>
      </c>
      <c r="I247" s="1217"/>
      <c r="J247" s="1217" t="s">
        <v>1718</v>
      </c>
      <c r="K247" s="1217" t="s">
        <v>1718</v>
      </c>
    </row>
    <row r="248" spans="2:11" ht="15.75" customHeight="1" thickBot="1" x14ac:dyDescent="0.3">
      <c r="B248" s="1218" t="s">
        <v>1766</v>
      </c>
      <c r="C248" s="1218" t="s">
        <v>1766</v>
      </c>
      <c r="D248" s="1219">
        <v>2</v>
      </c>
      <c r="E248" s="1219">
        <v>2</v>
      </c>
      <c r="F248" s="1217" t="s">
        <v>1732</v>
      </c>
      <c r="G248" s="1217" t="s">
        <v>1733</v>
      </c>
      <c r="H248" s="1217" t="s">
        <v>1734</v>
      </c>
      <c r="I248" s="1217"/>
      <c r="J248" s="1217" t="s">
        <v>1767</v>
      </c>
      <c r="K248" s="1217" t="s">
        <v>1767</v>
      </c>
    </row>
    <row r="249" spans="2:11" ht="15.75" customHeight="1" thickBot="1" x14ac:dyDescent="0.3">
      <c r="B249" s="1218" t="s">
        <v>1509</v>
      </c>
      <c r="C249" s="1218" t="s">
        <v>1509</v>
      </c>
      <c r="D249" s="1219">
        <v>2</v>
      </c>
      <c r="E249" s="1219">
        <v>2</v>
      </c>
      <c r="F249" s="1217" t="s">
        <v>1732</v>
      </c>
      <c r="G249" s="1217" t="s">
        <v>1733</v>
      </c>
      <c r="H249" s="1217" t="s">
        <v>1734</v>
      </c>
      <c r="I249" s="1217"/>
      <c r="J249" s="1217" t="s">
        <v>1506</v>
      </c>
      <c r="K249" s="1217" t="s">
        <v>1506</v>
      </c>
    </row>
    <row r="250" spans="2:11" ht="15.75" customHeight="1" thickBot="1" x14ac:dyDescent="0.3">
      <c r="B250" s="1218" t="s">
        <v>1768</v>
      </c>
      <c r="C250" s="1218" t="s">
        <v>1768</v>
      </c>
      <c r="D250" s="1219">
        <v>2</v>
      </c>
      <c r="E250" s="1219">
        <v>2</v>
      </c>
      <c r="F250" s="1217" t="s">
        <v>1732</v>
      </c>
      <c r="G250" s="1217" t="s">
        <v>1733</v>
      </c>
      <c r="H250" s="1217" t="s">
        <v>1734</v>
      </c>
      <c r="I250" s="1217"/>
      <c r="J250" s="1217" t="s">
        <v>1769</v>
      </c>
      <c r="K250" s="1217" t="s">
        <v>1769</v>
      </c>
    </row>
    <row r="251" spans="2:11" ht="15.75" customHeight="1" thickBot="1" x14ac:dyDescent="0.3">
      <c r="B251" s="1218" t="s">
        <v>1550</v>
      </c>
      <c r="C251" s="1218" t="s">
        <v>1550</v>
      </c>
      <c r="D251" s="1219">
        <v>1</v>
      </c>
      <c r="E251" s="1219">
        <v>1</v>
      </c>
      <c r="F251" s="1217" t="s">
        <v>1732</v>
      </c>
      <c r="G251" s="1217" t="s">
        <v>1733</v>
      </c>
      <c r="H251" s="1217" t="s">
        <v>1734</v>
      </c>
      <c r="I251" s="1217"/>
      <c r="J251" s="1217" t="s">
        <v>1511</v>
      </c>
      <c r="K251" s="1217" t="s">
        <v>1511</v>
      </c>
    </row>
    <row r="252" spans="2:11" ht="15.75" customHeight="1" thickBot="1" x14ac:dyDescent="0.3">
      <c r="B252" s="1218" t="s">
        <v>1770</v>
      </c>
      <c r="C252" s="1218" t="s">
        <v>1770</v>
      </c>
      <c r="D252" s="1219">
        <v>1</v>
      </c>
      <c r="E252" s="1219">
        <v>1</v>
      </c>
      <c r="F252" s="1217" t="s">
        <v>1732</v>
      </c>
      <c r="G252" s="1217" t="s">
        <v>1733</v>
      </c>
      <c r="H252" s="1217" t="s">
        <v>1734</v>
      </c>
      <c r="I252" s="1217"/>
      <c r="J252" s="1217" t="s">
        <v>1511</v>
      </c>
      <c r="K252" s="1217" t="s">
        <v>1511</v>
      </c>
    </row>
    <row r="253" spans="2:11" ht="15.75" customHeight="1" thickBot="1" x14ac:dyDescent="0.3">
      <c r="B253" s="1218" t="s">
        <v>1771</v>
      </c>
      <c r="C253" s="1218" t="s">
        <v>1771</v>
      </c>
      <c r="D253" s="1219">
        <v>1</v>
      </c>
      <c r="E253" s="1219">
        <v>1</v>
      </c>
      <c r="F253" s="1217" t="s">
        <v>1732</v>
      </c>
      <c r="G253" s="1217" t="s">
        <v>1733</v>
      </c>
      <c r="H253" s="1217" t="s">
        <v>1734</v>
      </c>
      <c r="I253" s="1217"/>
      <c r="J253" s="1217" t="s">
        <v>1617</v>
      </c>
      <c r="K253" s="1217" t="s">
        <v>1617</v>
      </c>
    </row>
    <row r="254" spans="2:11" ht="15.75" customHeight="1" thickBot="1" x14ac:dyDescent="0.3">
      <c r="B254" s="1218" t="s">
        <v>1772</v>
      </c>
      <c r="C254" s="1218" t="s">
        <v>1772</v>
      </c>
      <c r="D254" s="1219">
        <v>1</v>
      </c>
      <c r="E254" s="1219">
        <v>1</v>
      </c>
      <c r="F254" s="1217" t="s">
        <v>1732</v>
      </c>
      <c r="G254" s="1217" t="s">
        <v>1733</v>
      </c>
      <c r="H254" s="1217" t="s">
        <v>1734</v>
      </c>
      <c r="I254" s="1217"/>
      <c r="J254" s="1217" t="s">
        <v>1773</v>
      </c>
      <c r="K254" s="1217" t="s">
        <v>1773</v>
      </c>
    </row>
    <row r="255" spans="2:11" ht="15.75" customHeight="1" thickBot="1" x14ac:dyDescent="0.3">
      <c r="B255" s="1218" t="s">
        <v>1774</v>
      </c>
      <c r="C255" s="1218" t="s">
        <v>1774</v>
      </c>
      <c r="D255" s="1219">
        <v>1</v>
      </c>
      <c r="E255" s="1219">
        <v>1</v>
      </c>
      <c r="F255" s="1217" t="s">
        <v>1732</v>
      </c>
      <c r="G255" s="1217" t="s">
        <v>1733</v>
      </c>
      <c r="H255" s="1217" t="s">
        <v>1734</v>
      </c>
      <c r="I255" s="1217"/>
      <c r="J255" s="1217" t="s">
        <v>1775</v>
      </c>
      <c r="K255" s="1217" t="s">
        <v>1775</v>
      </c>
    </row>
    <row r="256" spans="2:11" ht="15.75" customHeight="1" thickBot="1" x14ac:dyDescent="0.3">
      <c r="B256" s="1218" t="s">
        <v>1916</v>
      </c>
      <c r="C256" s="1218" t="s">
        <v>1776</v>
      </c>
      <c r="D256" s="1219">
        <v>1</v>
      </c>
      <c r="E256" s="1219">
        <v>1</v>
      </c>
      <c r="F256" s="1217" t="s">
        <v>1732</v>
      </c>
      <c r="G256" s="1217" t="s">
        <v>1733</v>
      </c>
      <c r="H256" s="1217" t="s">
        <v>1734</v>
      </c>
      <c r="I256" s="1217"/>
      <c r="J256" s="1217" t="s">
        <v>1555</v>
      </c>
      <c r="K256" s="1217" t="s">
        <v>1555</v>
      </c>
    </row>
    <row r="257" spans="2:11" ht="15.75" customHeight="1" thickBot="1" x14ac:dyDescent="0.3">
      <c r="B257" s="1218" t="s">
        <v>1777</v>
      </c>
      <c r="C257" s="1218" t="s">
        <v>1777</v>
      </c>
      <c r="D257" s="1219">
        <v>1</v>
      </c>
      <c r="E257" s="1219">
        <v>1</v>
      </c>
      <c r="F257" s="1217" t="s">
        <v>1739</v>
      </c>
      <c r="G257" s="1217" t="s">
        <v>1740</v>
      </c>
      <c r="H257" s="1217" t="s">
        <v>1734</v>
      </c>
      <c r="I257" s="1217"/>
      <c r="J257" s="1217" t="s">
        <v>1621</v>
      </c>
      <c r="K257" s="1217" t="s">
        <v>1621</v>
      </c>
    </row>
    <row r="258" spans="2:11" ht="30.75" customHeight="1" thickBot="1" x14ac:dyDescent="0.3">
      <c r="B258" s="1218" t="s">
        <v>1917</v>
      </c>
      <c r="C258" s="1218" t="s">
        <v>1778</v>
      </c>
      <c r="D258" s="1219">
        <v>1</v>
      </c>
      <c r="E258" s="1219">
        <v>1</v>
      </c>
      <c r="F258" s="1217" t="s">
        <v>1739</v>
      </c>
      <c r="G258" s="1217" t="s">
        <v>1740</v>
      </c>
      <c r="H258" s="1217" t="s">
        <v>1734</v>
      </c>
      <c r="I258" s="1217"/>
      <c r="J258" s="1217" t="s">
        <v>1621</v>
      </c>
      <c r="K258" s="1217" t="s">
        <v>1621</v>
      </c>
    </row>
    <row r="259" spans="2:11" ht="15.75" customHeight="1" thickBot="1" x14ac:dyDescent="0.3">
      <c r="B259" s="1218" t="s">
        <v>1779</v>
      </c>
      <c r="C259" s="1218" t="s">
        <v>1779</v>
      </c>
      <c r="D259" s="1219">
        <v>1</v>
      </c>
      <c r="E259" s="1219">
        <v>1</v>
      </c>
      <c r="F259" s="1217" t="s">
        <v>1732</v>
      </c>
      <c r="G259" s="1217" t="s">
        <v>1733</v>
      </c>
      <c r="H259" s="1217" t="s">
        <v>1734</v>
      </c>
      <c r="I259" s="1217"/>
      <c r="J259" s="1217" t="s">
        <v>1398</v>
      </c>
      <c r="K259" s="1217" t="s">
        <v>1398</v>
      </c>
    </row>
    <row r="260" spans="2:11" ht="15.75" customHeight="1" thickBot="1" x14ac:dyDescent="0.3">
      <c r="B260" s="1218" t="s">
        <v>1780</v>
      </c>
      <c r="C260" s="1218" t="s">
        <v>1780</v>
      </c>
      <c r="D260" s="1219">
        <v>1</v>
      </c>
      <c r="E260" s="1219">
        <v>1</v>
      </c>
      <c r="F260" s="1217" t="s">
        <v>1732</v>
      </c>
      <c r="G260" s="1217" t="s">
        <v>1733</v>
      </c>
      <c r="H260" s="1217" t="s">
        <v>1734</v>
      </c>
      <c r="I260" s="1217"/>
      <c r="J260" s="1217" t="s">
        <v>1781</v>
      </c>
      <c r="K260" s="1217" t="s">
        <v>1781</v>
      </c>
    </row>
    <row r="261" spans="2:11" ht="15.75" customHeight="1" thickBot="1" x14ac:dyDescent="0.3">
      <c r="B261" s="1218" t="s">
        <v>1782</v>
      </c>
      <c r="C261" s="1218" t="s">
        <v>1782</v>
      </c>
      <c r="D261" s="1219">
        <v>1</v>
      </c>
      <c r="E261" s="1219">
        <v>1</v>
      </c>
      <c r="F261" s="1217" t="s">
        <v>1732</v>
      </c>
      <c r="G261" s="1217" t="s">
        <v>1733</v>
      </c>
      <c r="H261" s="1217" t="s">
        <v>1734</v>
      </c>
      <c r="I261" s="1217"/>
      <c r="J261" s="1217" t="s">
        <v>1516</v>
      </c>
      <c r="K261" s="1217" t="s">
        <v>1516</v>
      </c>
    </row>
    <row r="262" spans="2:11" ht="15.75" customHeight="1" thickBot="1" x14ac:dyDescent="0.3">
      <c r="B262" s="1218" t="s">
        <v>1783</v>
      </c>
      <c r="C262" s="1218" t="s">
        <v>1783</v>
      </c>
      <c r="D262" s="1219">
        <v>1</v>
      </c>
      <c r="E262" s="1219">
        <v>1</v>
      </c>
      <c r="F262" s="1217" t="s">
        <v>1732</v>
      </c>
      <c r="G262" s="1217" t="s">
        <v>1733</v>
      </c>
      <c r="H262" s="1217" t="s">
        <v>1734</v>
      </c>
      <c r="I262" s="1217"/>
      <c r="J262" s="1217" t="s">
        <v>1516</v>
      </c>
      <c r="K262" s="1217" t="s">
        <v>1516</v>
      </c>
    </row>
    <row r="263" spans="2:11" ht="15.75" customHeight="1" thickBot="1" x14ac:dyDescent="0.3">
      <c r="B263" s="1218" t="s">
        <v>1784</v>
      </c>
      <c r="C263" s="1218" t="s">
        <v>1784</v>
      </c>
      <c r="D263" s="1219">
        <v>1</v>
      </c>
      <c r="E263" s="1219">
        <v>1</v>
      </c>
      <c r="F263" s="1217" t="s">
        <v>1732</v>
      </c>
      <c r="G263" s="1217" t="s">
        <v>1733</v>
      </c>
      <c r="H263" s="1217" t="s">
        <v>1734</v>
      </c>
      <c r="I263" s="1217"/>
      <c r="J263" s="1217" t="s">
        <v>1785</v>
      </c>
      <c r="K263" s="1217" t="s">
        <v>1785</v>
      </c>
    </row>
    <row r="264" spans="2:11" ht="15.75" customHeight="1" thickBot="1" x14ac:dyDescent="0.3">
      <c r="B264" s="1218" t="s">
        <v>1918</v>
      </c>
      <c r="C264" s="1218" t="s">
        <v>1786</v>
      </c>
      <c r="D264" s="1219">
        <v>1</v>
      </c>
      <c r="E264" s="1219">
        <v>1</v>
      </c>
      <c r="F264" s="1217" t="s">
        <v>1732</v>
      </c>
      <c r="G264" s="1217" t="s">
        <v>1733</v>
      </c>
      <c r="H264" s="1217" t="s">
        <v>1734</v>
      </c>
      <c r="I264" s="1217"/>
      <c r="J264" s="1217" t="s">
        <v>1787</v>
      </c>
      <c r="K264" s="1217" t="s">
        <v>1787</v>
      </c>
    </row>
    <row r="265" spans="2:11" ht="15.75" customHeight="1" thickBot="1" x14ac:dyDescent="0.3">
      <c r="B265" s="1218" t="s">
        <v>1788</v>
      </c>
      <c r="C265" s="1218" t="s">
        <v>1788</v>
      </c>
      <c r="D265" s="1219">
        <v>1</v>
      </c>
      <c r="E265" s="1219">
        <v>1</v>
      </c>
      <c r="F265" s="1217" t="s">
        <v>1732</v>
      </c>
      <c r="G265" s="1217" t="s">
        <v>1733</v>
      </c>
      <c r="H265" s="1217" t="s">
        <v>1734</v>
      </c>
      <c r="I265" s="1217"/>
      <c r="J265" s="1217" t="s">
        <v>1638</v>
      </c>
      <c r="K265" s="1217" t="s">
        <v>1638</v>
      </c>
    </row>
    <row r="266" spans="2:11" ht="15.75" customHeight="1" thickBot="1" x14ac:dyDescent="0.3">
      <c r="B266" s="1218" t="s">
        <v>1789</v>
      </c>
      <c r="C266" s="1218" t="s">
        <v>1789</v>
      </c>
      <c r="D266" s="1219">
        <v>1</v>
      </c>
      <c r="E266" s="1219">
        <v>1</v>
      </c>
      <c r="F266" s="1217" t="s">
        <v>1732</v>
      </c>
      <c r="G266" s="1217" t="s">
        <v>1733</v>
      </c>
      <c r="H266" s="1217" t="s">
        <v>1734</v>
      </c>
      <c r="I266" s="1217"/>
      <c r="J266" s="1217" t="s">
        <v>1790</v>
      </c>
      <c r="K266" s="1217" t="s">
        <v>1790</v>
      </c>
    </row>
    <row r="267" spans="2:11" ht="15.75" customHeight="1" thickBot="1" x14ac:dyDescent="0.3">
      <c r="B267" s="1218" t="s">
        <v>1791</v>
      </c>
      <c r="C267" s="1218" t="s">
        <v>1791</v>
      </c>
      <c r="D267" s="1219">
        <v>1</v>
      </c>
      <c r="E267" s="1219">
        <v>1</v>
      </c>
      <c r="F267" s="1217" t="s">
        <v>1732</v>
      </c>
      <c r="G267" s="1217" t="s">
        <v>1733</v>
      </c>
      <c r="H267" s="1217" t="s">
        <v>1734</v>
      </c>
      <c r="I267" s="1217"/>
      <c r="J267" s="1217" t="s">
        <v>1568</v>
      </c>
      <c r="K267" s="1217" t="s">
        <v>1568</v>
      </c>
    </row>
    <row r="268" spans="2:11" ht="15.75" customHeight="1" thickBot="1" x14ac:dyDescent="0.3">
      <c r="B268" s="1218" t="s">
        <v>1792</v>
      </c>
      <c r="C268" s="1218" t="s">
        <v>1792</v>
      </c>
      <c r="D268" s="1219">
        <v>1</v>
      </c>
      <c r="E268" s="1219">
        <v>1</v>
      </c>
      <c r="F268" s="1217" t="s">
        <v>1732</v>
      </c>
      <c r="G268" s="1217" t="s">
        <v>1733</v>
      </c>
      <c r="H268" s="1217" t="s">
        <v>1734</v>
      </c>
      <c r="I268" s="1217"/>
      <c r="J268" s="1217" t="s">
        <v>1793</v>
      </c>
      <c r="K268" s="1217" t="s">
        <v>1793</v>
      </c>
    </row>
    <row r="269" spans="2:11" ht="15.75" customHeight="1" thickBot="1" x14ac:dyDescent="0.3">
      <c r="B269" s="1218" t="s">
        <v>1794</v>
      </c>
      <c r="C269" s="1218" t="s">
        <v>1794</v>
      </c>
      <c r="D269" s="1219">
        <v>1</v>
      </c>
      <c r="E269" s="1219">
        <v>1</v>
      </c>
      <c r="F269" s="1217" t="s">
        <v>1732</v>
      </c>
      <c r="G269" s="1217" t="s">
        <v>1733</v>
      </c>
      <c r="H269" s="1217" t="s">
        <v>1734</v>
      </c>
      <c r="I269" s="1217"/>
      <c r="J269" s="1217" t="s">
        <v>1795</v>
      </c>
      <c r="K269" s="1217" t="s">
        <v>1795</v>
      </c>
    </row>
    <row r="270" spans="2:11" ht="15.75" customHeight="1" thickBot="1" x14ac:dyDescent="0.3">
      <c r="B270" s="1218" t="s">
        <v>1796</v>
      </c>
      <c r="C270" s="1218" t="s">
        <v>1796</v>
      </c>
      <c r="D270" s="1219">
        <v>1</v>
      </c>
      <c r="E270" s="1219">
        <v>1</v>
      </c>
      <c r="F270" s="1217" t="s">
        <v>1732</v>
      </c>
      <c r="G270" s="1217" t="s">
        <v>1733</v>
      </c>
      <c r="H270" s="1217" t="s">
        <v>1734</v>
      </c>
      <c r="I270" s="1217"/>
      <c r="J270" s="1217" t="s">
        <v>1797</v>
      </c>
      <c r="K270" s="1217" t="s">
        <v>1797</v>
      </c>
    </row>
    <row r="271" spans="2:11" ht="15.75" customHeight="1" thickBot="1" x14ac:dyDescent="0.3">
      <c r="B271" s="1218" t="s">
        <v>1798</v>
      </c>
      <c r="C271" s="1218" t="s">
        <v>1798</v>
      </c>
      <c r="D271" s="1219">
        <v>1</v>
      </c>
      <c r="E271" s="1219">
        <v>1</v>
      </c>
      <c r="F271" s="1217" t="s">
        <v>1732</v>
      </c>
      <c r="G271" s="1217" t="s">
        <v>1733</v>
      </c>
      <c r="H271" s="1217" t="s">
        <v>1734</v>
      </c>
      <c r="I271" s="1217"/>
      <c r="J271" s="1217" t="s">
        <v>1799</v>
      </c>
      <c r="K271" s="1217" t="s">
        <v>1799</v>
      </c>
    </row>
    <row r="272" spans="2:11" ht="15.75" customHeight="1" thickBot="1" x14ac:dyDescent="0.3">
      <c r="B272" s="1218" t="s">
        <v>1800</v>
      </c>
      <c r="C272" s="1218" t="s">
        <v>1800</v>
      </c>
      <c r="D272" s="1219">
        <v>1</v>
      </c>
      <c r="E272" s="1219">
        <v>1</v>
      </c>
      <c r="F272" s="1217" t="s">
        <v>1732</v>
      </c>
      <c r="G272" s="1217" t="s">
        <v>1733</v>
      </c>
      <c r="H272" s="1217" t="s">
        <v>1734</v>
      </c>
      <c r="I272" s="1217"/>
      <c r="J272" s="1217" t="s">
        <v>1801</v>
      </c>
      <c r="K272" s="1217" t="s">
        <v>1801</v>
      </c>
    </row>
    <row r="273" spans="2:11" ht="15.75" customHeight="1" thickBot="1" x14ac:dyDescent="0.3">
      <c r="B273" s="1218" t="s">
        <v>1802</v>
      </c>
      <c r="C273" s="1218" t="s">
        <v>1802</v>
      </c>
      <c r="D273" s="1219">
        <v>1</v>
      </c>
      <c r="E273" s="1219">
        <v>1</v>
      </c>
      <c r="F273" s="1217" t="s">
        <v>1732</v>
      </c>
      <c r="G273" s="1217" t="s">
        <v>1733</v>
      </c>
      <c r="H273" s="1217" t="s">
        <v>1734</v>
      </c>
      <c r="I273" s="1217"/>
      <c r="J273" s="1217" t="s">
        <v>1803</v>
      </c>
      <c r="K273" s="1217" t="s">
        <v>1803</v>
      </c>
    </row>
    <row r="274" spans="2:11" ht="15.75" customHeight="1" thickBot="1" x14ac:dyDescent="0.3">
      <c r="B274" s="1218" t="s">
        <v>1804</v>
      </c>
      <c r="C274" s="1218" t="s">
        <v>1804</v>
      </c>
      <c r="D274" s="1219">
        <v>1</v>
      </c>
      <c r="E274" s="1219">
        <v>1</v>
      </c>
      <c r="F274" s="1217" t="s">
        <v>1732</v>
      </c>
      <c r="G274" s="1217" t="s">
        <v>1733</v>
      </c>
      <c r="H274" s="1217" t="s">
        <v>1734</v>
      </c>
      <c r="I274" s="1217"/>
      <c r="J274" s="1217" t="s">
        <v>1805</v>
      </c>
      <c r="K274" s="1217" t="s">
        <v>1805</v>
      </c>
    </row>
    <row r="275" spans="2:11" ht="15" customHeight="1" thickBot="1" x14ac:dyDescent="0.3">
      <c r="B275" s="1218" t="s">
        <v>1806</v>
      </c>
      <c r="C275" s="1218" t="s">
        <v>1806</v>
      </c>
      <c r="D275" s="1219">
        <v>1</v>
      </c>
      <c r="E275" s="1219">
        <v>1</v>
      </c>
      <c r="F275" s="1217" t="s">
        <v>1732</v>
      </c>
      <c r="G275" s="1217" t="s">
        <v>1733</v>
      </c>
      <c r="H275" s="1217" t="s">
        <v>1734</v>
      </c>
      <c r="I275" s="1217"/>
      <c r="J275" s="1217" t="s">
        <v>1807</v>
      </c>
      <c r="K275" s="1217" t="s">
        <v>1807</v>
      </c>
    </row>
    <row r="276" spans="2:11" ht="15" customHeight="1" thickBot="1" x14ac:dyDescent="0.3">
      <c r="B276" s="1218" t="s">
        <v>1808</v>
      </c>
      <c r="C276" s="1218" t="s">
        <v>1808</v>
      </c>
      <c r="D276" s="1219">
        <v>1</v>
      </c>
      <c r="E276" s="1219">
        <v>1</v>
      </c>
      <c r="F276" s="1217" t="s">
        <v>1732</v>
      </c>
      <c r="G276" s="1217" t="s">
        <v>1733</v>
      </c>
      <c r="H276" s="1217" t="s">
        <v>1734</v>
      </c>
      <c r="I276" s="1217"/>
      <c r="J276" s="1217" t="s">
        <v>1753</v>
      </c>
      <c r="K276" s="1217" t="s">
        <v>1753</v>
      </c>
    </row>
    <row r="277" spans="2:11" ht="15" customHeight="1" thickBot="1" x14ac:dyDescent="0.3">
      <c r="B277" s="1218" t="s">
        <v>1809</v>
      </c>
      <c r="C277" s="1218" t="s">
        <v>1809</v>
      </c>
      <c r="D277" s="1219">
        <v>1</v>
      </c>
      <c r="E277" s="1219">
        <v>1</v>
      </c>
      <c r="F277" s="1217" t="s">
        <v>1732</v>
      </c>
      <c r="G277" s="1217" t="s">
        <v>1733</v>
      </c>
      <c r="H277" s="1217" t="s">
        <v>1734</v>
      </c>
      <c r="I277" s="1217"/>
      <c r="J277" s="1217" t="s">
        <v>1810</v>
      </c>
      <c r="K277" s="1217" t="s">
        <v>1810</v>
      </c>
    </row>
    <row r="278" spans="2:11" ht="15" customHeight="1" thickBot="1" x14ac:dyDescent="0.3">
      <c r="B278" s="1218" t="s">
        <v>1811</v>
      </c>
      <c r="C278" s="1218" t="s">
        <v>1811</v>
      </c>
      <c r="D278" s="1219">
        <v>1</v>
      </c>
      <c r="E278" s="1219">
        <v>1</v>
      </c>
      <c r="F278" s="1217" t="s">
        <v>1732</v>
      </c>
      <c r="G278" s="1217" t="s">
        <v>1733</v>
      </c>
      <c r="H278" s="1217" t="s">
        <v>1734</v>
      </c>
      <c r="I278" s="1217"/>
      <c r="J278" s="1217" t="s">
        <v>1576</v>
      </c>
      <c r="K278" s="1217" t="s">
        <v>1576</v>
      </c>
    </row>
    <row r="279" spans="2:11" ht="15" customHeight="1" thickBot="1" x14ac:dyDescent="0.3">
      <c r="B279" s="1218" t="s">
        <v>1512</v>
      </c>
      <c r="C279" s="1218" t="s">
        <v>1512</v>
      </c>
      <c r="D279" s="1219">
        <v>1</v>
      </c>
      <c r="E279" s="1219">
        <v>1</v>
      </c>
      <c r="F279" s="1217" t="s">
        <v>1732</v>
      </c>
      <c r="G279" s="1217" t="s">
        <v>1733</v>
      </c>
      <c r="H279" s="1217" t="s">
        <v>1734</v>
      </c>
      <c r="I279" s="1217"/>
      <c r="J279" s="1217" t="s">
        <v>1500</v>
      </c>
      <c r="K279" s="1217" t="s">
        <v>1500</v>
      </c>
    </row>
    <row r="280" spans="2:11" ht="15" customHeight="1" thickBot="1" x14ac:dyDescent="0.3">
      <c r="B280" s="1218" t="s">
        <v>1812</v>
      </c>
      <c r="C280" s="1218" t="s">
        <v>1812</v>
      </c>
      <c r="D280" s="1219">
        <v>1</v>
      </c>
      <c r="E280" s="1219">
        <v>1</v>
      </c>
      <c r="F280" s="1217" t="s">
        <v>1732</v>
      </c>
      <c r="G280" s="1217" t="s">
        <v>1733</v>
      </c>
      <c r="H280" s="1217" t="s">
        <v>1734</v>
      </c>
      <c r="I280" s="1217"/>
      <c r="J280" s="1217" t="s">
        <v>1813</v>
      </c>
      <c r="K280" s="1217" t="s">
        <v>1813</v>
      </c>
    </row>
    <row r="281" spans="2:11" ht="15" customHeight="1" thickBot="1" x14ac:dyDescent="0.3">
      <c r="B281" s="1218" t="s">
        <v>1814</v>
      </c>
      <c r="C281" s="1218" t="s">
        <v>1814</v>
      </c>
      <c r="D281" s="1219">
        <v>1</v>
      </c>
      <c r="E281" s="1219">
        <v>1</v>
      </c>
      <c r="F281" s="1217" t="s">
        <v>1732</v>
      </c>
      <c r="G281" s="1217" t="s">
        <v>1733</v>
      </c>
      <c r="H281" s="1217" t="s">
        <v>1734</v>
      </c>
      <c r="I281" s="1217"/>
      <c r="J281" s="1217" t="s">
        <v>1813</v>
      </c>
      <c r="K281" s="1217" t="s">
        <v>1813</v>
      </c>
    </row>
    <row r="282" spans="2:11" ht="15" customHeight="1" thickBot="1" x14ac:dyDescent="0.3">
      <c r="B282" s="1218" t="s">
        <v>1513</v>
      </c>
      <c r="C282" s="1218" t="s">
        <v>1513</v>
      </c>
      <c r="D282" s="1219">
        <v>1</v>
      </c>
      <c r="E282" s="1219">
        <v>1</v>
      </c>
      <c r="F282" s="1217" t="s">
        <v>1732</v>
      </c>
      <c r="G282" s="1217" t="s">
        <v>1733</v>
      </c>
      <c r="H282" s="1217" t="s">
        <v>1734</v>
      </c>
      <c r="I282" s="1217"/>
      <c r="J282" s="1217" t="s">
        <v>961</v>
      </c>
      <c r="K282" s="1217" t="s">
        <v>961</v>
      </c>
    </row>
    <row r="283" spans="2:11" ht="15" customHeight="1" thickBot="1" x14ac:dyDescent="0.3">
      <c r="B283" s="1218" t="s">
        <v>1815</v>
      </c>
      <c r="C283" s="1218" t="s">
        <v>1815</v>
      </c>
      <c r="D283" s="1219">
        <v>1</v>
      </c>
      <c r="E283" s="1219">
        <v>1</v>
      </c>
      <c r="F283" s="1217" t="s">
        <v>1732</v>
      </c>
      <c r="G283" s="1217" t="s">
        <v>1733</v>
      </c>
      <c r="H283" s="1217" t="s">
        <v>1734</v>
      </c>
      <c r="I283" s="1217"/>
      <c r="J283" s="1217" t="s">
        <v>961</v>
      </c>
      <c r="K283" s="1217" t="s">
        <v>961</v>
      </c>
    </row>
    <row r="284" spans="2:11" ht="15" customHeight="1" thickBot="1" x14ac:dyDescent="0.3">
      <c r="B284" s="1218" t="s">
        <v>1816</v>
      </c>
      <c r="C284" s="1218" t="s">
        <v>1816</v>
      </c>
      <c r="D284" s="1219">
        <v>1</v>
      </c>
      <c r="E284" s="1219">
        <v>1</v>
      </c>
      <c r="F284" s="1217" t="s">
        <v>1732</v>
      </c>
      <c r="G284" s="1217" t="s">
        <v>1733</v>
      </c>
      <c r="H284" s="1217" t="s">
        <v>1734</v>
      </c>
      <c r="I284" s="1217"/>
      <c r="J284" s="1217" t="s">
        <v>961</v>
      </c>
      <c r="K284" s="1217" t="s">
        <v>961</v>
      </c>
    </row>
    <row r="285" spans="2:11" ht="15" customHeight="1" thickBot="1" x14ac:dyDescent="0.3">
      <c r="B285" s="1218" t="s">
        <v>1817</v>
      </c>
      <c r="C285" s="1218" t="s">
        <v>1817</v>
      </c>
      <c r="D285" s="1219">
        <v>1</v>
      </c>
      <c r="E285" s="1219">
        <v>1</v>
      </c>
      <c r="F285" s="1217" t="s">
        <v>1732</v>
      </c>
      <c r="G285" s="1217" t="s">
        <v>1733</v>
      </c>
      <c r="H285" s="1217" t="s">
        <v>1734</v>
      </c>
      <c r="I285" s="1217"/>
      <c r="J285" s="1217" t="s">
        <v>1818</v>
      </c>
      <c r="K285" s="1217" t="s">
        <v>1818</v>
      </c>
    </row>
    <row r="286" spans="2:11" ht="15.75" customHeight="1" thickBot="1" x14ac:dyDescent="0.3">
      <c r="B286" s="1218" t="s">
        <v>1819</v>
      </c>
      <c r="C286" s="1218" t="s">
        <v>1819</v>
      </c>
      <c r="D286" s="1219">
        <v>1</v>
      </c>
      <c r="E286" s="1219">
        <v>1</v>
      </c>
      <c r="F286" s="1217" t="s">
        <v>1732</v>
      </c>
      <c r="G286" s="1217" t="s">
        <v>1733</v>
      </c>
      <c r="H286" s="1217" t="s">
        <v>1734</v>
      </c>
      <c r="I286" s="1217"/>
      <c r="J286" s="1217" t="s">
        <v>1820</v>
      </c>
      <c r="K286" s="1217" t="s">
        <v>1820</v>
      </c>
    </row>
    <row r="287" spans="2:11" ht="15.75" customHeight="1" thickBot="1" x14ac:dyDescent="0.3">
      <c r="B287" s="1218" t="s">
        <v>1821</v>
      </c>
      <c r="C287" s="1218" t="s">
        <v>1821</v>
      </c>
      <c r="D287" s="1219">
        <v>1</v>
      </c>
      <c r="E287" s="1219">
        <v>1</v>
      </c>
      <c r="F287" s="1217" t="s">
        <v>1739</v>
      </c>
      <c r="G287" s="1217" t="s">
        <v>1740</v>
      </c>
      <c r="H287" s="1217" t="s">
        <v>1734</v>
      </c>
      <c r="I287" s="1217"/>
      <c r="J287" s="1217" t="s">
        <v>1520</v>
      </c>
      <c r="K287" s="1217" t="s">
        <v>1520</v>
      </c>
    </row>
    <row r="288" spans="2:11" ht="15.75" customHeight="1" thickBot="1" x14ac:dyDescent="0.3">
      <c r="B288" s="1218" t="s">
        <v>1822</v>
      </c>
      <c r="C288" s="1218" t="s">
        <v>1822</v>
      </c>
      <c r="D288" s="1219">
        <v>1</v>
      </c>
      <c r="E288" s="1219">
        <v>1</v>
      </c>
      <c r="F288" s="1217" t="s">
        <v>1732</v>
      </c>
      <c r="G288" s="1217" t="s">
        <v>1733</v>
      </c>
      <c r="H288" s="1217" t="s">
        <v>1734</v>
      </c>
      <c r="I288" s="1217"/>
      <c r="J288" s="1217" t="s">
        <v>1520</v>
      </c>
      <c r="K288" s="1217" t="s">
        <v>1520</v>
      </c>
    </row>
    <row r="289" spans="2:11" ht="15.75" customHeight="1" thickBot="1" x14ac:dyDescent="0.3">
      <c r="B289" s="1218" t="s">
        <v>1823</v>
      </c>
      <c r="C289" s="1218" t="s">
        <v>1823</v>
      </c>
      <c r="D289" s="1219">
        <v>1</v>
      </c>
      <c r="E289" s="1219">
        <v>1</v>
      </c>
      <c r="F289" s="1217" t="s">
        <v>1732</v>
      </c>
      <c r="G289" s="1217" t="s">
        <v>1733</v>
      </c>
      <c r="H289" s="1217" t="s">
        <v>1734</v>
      </c>
      <c r="I289" s="1217"/>
      <c r="J289" s="1217" t="s">
        <v>962</v>
      </c>
      <c r="K289" s="1217" t="s">
        <v>962</v>
      </c>
    </row>
    <row r="290" spans="2:11" ht="15.75" customHeight="1" thickBot="1" x14ac:dyDescent="0.3">
      <c r="B290" s="1218" t="s">
        <v>1824</v>
      </c>
      <c r="C290" s="1218" t="s">
        <v>1824</v>
      </c>
      <c r="D290" s="1219">
        <v>1</v>
      </c>
      <c r="E290" s="1219">
        <v>1</v>
      </c>
      <c r="F290" s="1217" t="s">
        <v>1739</v>
      </c>
      <c r="G290" s="1217" t="s">
        <v>1740</v>
      </c>
      <c r="H290" s="1217" t="s">
        <v>1734</v>
      </c>
      <c r="I290" s="1217"/>
      <c r="J290" s="1217" t="s">
        <v>962</v>
      </c>
      <c r="K290" s="1217" t="s">
        <v>962</v>
      </c>
    </row>
    <row r="291" spans="2:11" ht="15.75" customHeight="1" thickBot="1" x14ac:dyDescent="0.3">
      <c r="B291" s="1218" t="s">
        <v>1825</v>
      </c>
      <c r="C291" s="1218" t="s">
        <v>1825</v>
      </c>
      <c r="D291" s="1219">
        <v>1</v>
      </c>
      <c r="E291" s="1219">
        <v>1</v>
      </c>
      <c r="F291" s="1217" t="s">
        <v>1732</v>
      </c>
      <c r="G291" s="1217" t="s">
        <v>1733</v>
      </c>
      <c r="H291" s="1217" t="s">
        <v>1734</v>
      </c>
      <c r="I291" s="1217"/>
      <c r="J291" s="1217" t="s">
        <v>1132</v>
      </c>
      <c r="K291" s="1217" t="s">
        <v>1132</v>
      </c>
    </row>
    <row r="292" spans="2:11" ht="15.75" customHeight="1" thickBot="1" x14ac:dyDescent="0.3">
      <c r="B292" s="1218" t="s">
        <v>1826</v>
      </c>
      <c r="C292" s="1218" t="s">
        <v>1826</v>
      </c>
      <c r="D292" s="1219">
        <v>1</v>
      </c>
      <c r="E292" s="1219">
        <v>1</v>
      </c>
      <c r="F292" s="1217" t="s">
        <v>1732</v>
      </c>
      <c r="G292" s="1217" t="s">
        <v>1733</v>
      </c>
      <c r="H292" s="1217" t="s">
        <v>1734</v>
      </c>
      <c r="I292" s="1217"/>
      <c r="J292" s="1217" t="s">
        <v>1504</v>
      </c>
      <c r="K292" s="1217" t="s">
        <v>1504</v>
      </c>
    </row>
    <row r="293" spans="2:11" ht="15.75" customHeight="1" thickBot="1" x14ac:dyDescent="0.3">
      <c r="B293" s="1218" t="s">
        <v>1827</v>
      </c>
      <c r="C293" s="1218" t="s">
        <v>1827</v>
      </c>
      <c r="D293" s="1219">
        <v>1</v>
      </c>
      <c r="E293" s="1219">
        <v>1</v>
      </c>
      <c r="F293" s="1217" t="s">
        <v>1732</v>
      </c>
      <c r="G293" s="1217" t="s">
        <v>1733</v>
      </c>
      <c r="H293" s="1217" t="s">
        <v>1734</v>
      </c>
      <c r="I293" s="1217"/>
      <c r="J293" s="1217" t="s">
        <v>1594</v>
      </c>
      <c r="K293" s="1217" t="s">
        <v>1594</v>
      </c>
    </row>
    <row r="294" spans="2:11" ht="15.75" customHeight="1" thickBot="1" x14ac:dyDescent="0.3">
      <c r="B294" s="1218" t="s">
        <v>1828</v>
      </c>
      <c r="C294" s="1218" t="s">
        <v>1828</v>
      </c>
      <c r="D294" s="1219">
        <v>1</v>
      </c>
      <c r="E294" s="1219">
        <v>1</v>
      </c>
      <c r="F294" s="1217" t="s">
        <v>1732</v>
      </c>
      <c r="G294" s="1217" t="s">
        <v>1733</v>
      </c>
      <c r="H294" s="1217" t="s">
        <v>1734</v>
      </c>
      <c r="I294" s="1217"/>
      <c r="J294" s="1217" t="s">
        <v>1396</v>
      </c>
      <c r="K294" s="1217" t="s">
        <v>1396</v>
      </c>
    </row>
    <row r="295" spans="2:11" ht="15.75" customHeight="1" thickBot="1" x14ac:dyDescent="0.3">
      <c r="B295" s="1218" t="s">
        <v>1829</v>
      </c>
      <c r="C295" s="1218" t="s">
        <v>1829</v>
      </c>
      <c r="D295" s="1219">
        <v>1</v>
      </c>
      <c r="E295" s="1219">
        <v>1</v>
      </c>
      <c r="F295" s="1217" t="s">
        <v>1732</v>
      </c>
      <c r="G295" s="1217" t="s">
        <v>1733</v>
      </c>
      <c r="H295" s="1217" t="s">
        <v>1734</v>
      </c>
      <c r="I295" s="1217"/>
      <c r="J295" s="1217" t="s">
        <v>1396</v>
      </c>
      <c r="K295" s="1217" t="s">
        <v>1396</v>
      </c>
    </row>
    <row r="296" spans="2:11" ht="15.75" customHeight="1" thickBot="1" x14ac:dyDescent="0.3">
      <c r="B296" s="1218" t="s">
        <v>1830</v>
      </c>
      <c r="C296" s="1218" t="s">
        <v>1830</v>
      </c>
      <c r="D296" s="1219">
        <v>1</v>
      </c>
      <c r="E296" s="1219">
        <v>1</v>
      </c>
      <c r="F296" s="1217" t="s">
        <v>1732</v>
      </c>
      <c r="G296" s="1217" t="s">
        <v>1733</v>
      </c>
      <c r="H296" s="1217" t="s">
        <v>1734</v>
      </c>
      <c r="I296" s="1217"/>
      <c r="J296" s="1217" t="s">
        <v>1831</v>
      </c>
      <c r="K296" s="1217" t="s">
        <v>1831</v>
      </c>
    </row>
    <row r="297" spans="2:11" ht="15.75" customHeight="1" thickBot="1" x14ac:dyDescent="0.3">
      <c r="B297" s="1218" t="s">
        <v>1832</v>
      </c>
      <c r="C297" s="1218" t="s">
        <v>1832</v>
      </c>
      <c r="D297" s="1219">
        <v>1</v>
      </c>
      <c r="E297" s="1219">
        <v>1</v>
      </c>
      <c r="F297" s="1217" t="s">
        <v>1732</v>
      </c>
      <c r="G297" s="1217" t="s">
        <v>1733</v>
      </c>
      <c r="H297" s="1217" t="s">
        <v>1734</v>
      </c>
      <c r="I297" s="1217"/>
      <c r="J297" s="1217" t="s">
        <v>1833</v>
      </c>
      <c r="K297" s="1217" t="s">
        <v>1833</v>
      </c>
    </row>
    <row r="298" spans="2:11" ht="15.75" customHeight="1" thickBot="1" x14ac:dyDescent="0.3">
      <c r="B298" s="1218" t="s">
        <v>1834</v>
      </c>
      <c r="C298" s="1218" t="s">
        <v>1834</v>
      </c>
      <c r="D298" s="1219">
        <v>1</v>
      </c>
      <c r="E298" s="1219">
        <v>1</v>
      </c>
      <c r="F298" s="1217" t="s">
        <v>1732</v>
      </c>
      <c r="G298" s="1217" t="s">
        <v>1733</v>
      </c>
      <c r="H298" s="1217" t="s">
        <v>1734</v>
      </c>
      <c r="I298" s="1217"/>
      <c r="J298" s="1217" t="s">
        <v>1524</v>
      </c>
      <c r="K298" s="1217" t="s">
        <v>1524</v>
      </c>
    </row>
    <row r="299" spans="2:11" ht="15.75" customHeight="1" thickBot="1" x14ac:dyDescent="0.3">
      <c r="B299" s="1218" t="s">
        <v>1835</v>
      </c>
      <c r="C299" s="1218" t="s">
        <v>1835</v>
      </c>
      <c r="D299" s="1219">
        <v>1</v>
      </c>
      <c r="E299" s="1219">
        <v>1</v>
      </c>
      <c r="F299" s="1217" t="s">
        <v>1732</v>
      </c>
      <c r="G299" s="1217" t="s">
        <v>1733</v>
      </c>
      <c r="H299" s="1217" t="s">
        <v>1734</v>
      </c>
      <c r="I299" s="1217"/>
      <c r="J299" s="1217" t="s">
        <v>1704</v>
      </c>
      <c r="K299" s="1217" t="s">
        <v>1704</v>
      </c>
    </row>
    <row r="300" spans="2:11" ht="15.75" customHeight="1" thickBot="1" x14ac:dyDescent="0.3">
      <c r="B300" s="1218" t="s">
        <v>1598</v>
      </c>
      <c r="C300" s="1218" t="s">
        <v>1598</v>
      </c>
      <c r="D300" s="1219">
        <v>1</v>
      </c>
      <c r="E300" s="1219">
        <v>1</v>
      </c>
      <c r="F300" s="1217" t="s">
        <v>1732</v>
      </c>
      <c r="G300" s="1217" t="s">
        <v>1733</v>
      </c>
      <c r="H300" s="1217" t="s">
        <v>1734</v>
      </c>
      <c r="I300" s="1217"/>
      <c r="J300" s="1217" t="s">
        <v>1599</v>
      </c>
      <c r="K300" s="1217" t="s">
        <v>1599</v>
      </c>
    </row>
    <row r="301" spans="2:11" ht="15.75" customHeight="1" thickBot="1" x14ac:dyDescent="0.3">
      <c r="B301" s="1218" t="s">
        <v>1600</v>
      </c>
      <c r="C301" s="1218" t="s">
        <v>1600</v>
      </c>
      <c r="D301" s="1219">
        <v>1</v>
      </c>
      <c r="E301" s="1219">
        <v>1</v>
      </c>
      <c r="F301" s="1217" t="s">
        <v>1732</v>
      </c>
      <c r="G301" s="1217" t="s">
        <v>1733</v>
      </c>
      <c r="H301" s="1217" t="s">
        <v>1734</v>
      </c>
      <c r="I301" s="1217"/>
      <c r="J301" s="1217" t="s">
        <v>1601</v>
      </c>
      <c r="K301" s="1217" t="s">
        <v>1601</v>
      </c>
    </row>
    <row r="302" spans="2:11" ht="15.75" customHeight="1" thickBot="1" x14ac:dyDescent="0.3">
      <c r="B302" s="1218" t="s">
        <v>1836</v>
      </c>
      <c r="C302" s="1218" t="s">
        <v>1836</v>
      </c>
      <c r="D302" s="1219">
        <v>1</v>
      </c>
      <c r="E302" s="1219">
        <v>1</v>
      </c>
      <c r="F302" s="1217" t="s">
        <v>1732</v>
      </c>
      <c r="G302" s="1217" t="s">
        <v>1733</v>
      </c>
      <c r="H302" s="1217" t="s">
        <v>1734</v>
      </c>
      <c r="I302" s="1217"/>
      <c r="J302" s="1217" t="s">
        <v>1837</v>
      </c>
      <c r="K302" s="1217" t="s">
        <v>1837</v>
      </c>
    </row>
    <row r="303" spans="2:11" ht="15.75" customHeight="1" thickBot="1" x14ac:dyDescent="0.3">
      <c r="B303" s="1218" t="s">
        <v>1838</v>
      </c>
      <c r="C303" s="1218" t="s">
        <v>1838</v>
      </c>
      <c r="D303" s="1219">
        <v>1</v>
      </c>
      <c r="E303" s="1219">
        <v>1</v>
      </c>
      <c r="F303" s="1217" t="s">
        <v>1732</v>
      </c>
      <c r="G303" s="1217" t="s">
        <v>1733</v>
      </c>
      <c r="H303" s="1217" t="s">
        <v>1734</v>
      </c>
      <c r="I303" s="1217"/>
      <c r="J303" s="1217" t="s">
        <v>1543</v>
      </c>
      <c r="K303" s="1217" t="s">
        <v>1543</v>
      </c>
    </row>
    <row r="304" spans="2:11" ht="15.75" customHeight="1" thickBot="1" x14ac:dyDescent="0.3">
      <c r="B304" s="1218" t="s">
        <v>1839</v>
      </c>
      <c r="C304" s="1218" t="s">
        <v>1839</v>
      </c>
      <c r="D304" s="1219">
        <v>1</v>
      </c>
      <c r="E304" s="1219">
        <v>1</v>
      </c>
      <c r="F304" s="1217" t="s">
        <v>1732</v>
      </c>
      <c r="G304" s="1217" t="s">
        <v>1733</v>
      </c>
      <c r="H304" s="1217" t="s">
        <v>1734</v>
      </c>
      <c r="I304" s="1217"/>
      <c r="J304" s="1217" t="s">
        <v>1840</v>
      </c>
      <c r="K304" s="1217" t="s">
        <v>1840</v>
      </c>
    </row>
    <row r="305" spans="2:18" ht="15.75" customHeight="1" thickBot="1" x14ac:dyDescent="0.3">
      <c r="B305" s="1218" t="s">
        <v>1841</v>
      </c>
      <c r="C305" s="1218" t="s">
        <v>1841</v>
      </c>
      <c r="D305" s="1219">
        <v>1</v>
      </c>
      <c r="E305" s="1219">
        <v>1</v>
      </c>
      <c r="F305" s="1217" t="s">
        <v>1732</v>
      </c>
      <c r="G305" s="1217" t="s">
        <v>1733</v>
      </c>
      <c r="H305" s="1217" t="s">
        <v>1734</v>
      </c>
      <c r="I305" s="1217"/>
      <c r="J305" s="1217" t="s">
        <v>1840</v>
      </c>
      <c r="K305" s="1217" t="s">
        <v>1840</v>
      </c>
    </row>
    <row r="306" spans="2:18" ht="15.75" customHeight="1" thickBot="1" x14ac:dyDescent="0.3">
      <c r="B306" s="1218" t="s">
        <v>1842</v>
      </c>
      <c r="C306" s="1218" t="s">
        <v>1842</v>
      </c>
      <c r="D306" s="1219">
        <v>1</v>
      </c>
      <c r="E306" s="1219">
        <v>1</v>
      </c>
      <c r="F306" s="1217" t="s">
        <v>1732</v>
      </c>
      <c r="G306" s="1217" t="s">
        <v>1733</v>
      </c>
      <c r="H306" s="1217" t="s">
        <v>1734</v>
      </c>
      <c r="I306" s="1217"/>
      <c r="J306" s="1217" t="s">
        <v>1843</v>
      </c>
      <c r="K306" s="1217" t="s">
        <v>1843</v>
      </c>
    </row>
    <row r="307" spans="2:18" ht="15.75" customHeight="1" thickBot="1" x14ac:dyDescent="0.3">
      <c r="B307" s="1218" t="s">
        <v>1844</v>
      </c>
      <c r="C307" s="1218" t="s">
        <v>1844</v>
      </c>
      <c r="D307" s="1219">
        <v>1</v>
      </c>
      <c r="E307" s="1219">
        <v>1</v>
      </c>
      <c r="F307" s="1217" t="s">
        <v>1732</v>
      </c>
      <c r="G307" s="1217" t="s">
        <v>1733</v>
      </c>
      <c r="H307" s="1217" t="s">
        <v>1734</v>
      </c>
      <c r="I307" s="1217"/>
      <c r="J307" s="1217" t="s">
        <v>1845</v>
      </c>
      <c r="K307" s="1217" t="s">
        <v>1845</v>
      </c>
    </row>
    <row r="308" spans="2:18" ht="15.75" customHeight="1" thickBot="1" x14ac:dyDescent="0.3">
      <c r="B308" s="1218" t="s">
        <v>1846</v>
      </c>
      <c r="C308" s="1218" t="s">
        <v>1846</v>
      </c>
      <c r="D308" s="1219">
        <v>1</v>
      </c>
      <c r="E308" s="1219">
        <v>1</v>
      </c>
      <c r="F308" s="1217" t="s">
        <v>1732</v>
      </c>
      <c r="G308" s="1217" t="s">
        <v>1733</v>
      </c>
      <c r="H308" s="1217" t="s">
        <v>1734</v>
      </c>
      <c r="I308" s="1217"/>
      <c r="J308" s="1217" t="s">
        <v>1547</v>
      </c>
      <c r="K308" s="1217" t="s">
        <v>1547</v>
      </c>
    </row>
    <row r="309" spans="2:18" ht="15.75" customHeight="1" thickBot="1" x14ac:dyDescent="0.3">
      <c r="B309" s="1218" t="s">
        <v>1847</v>
      </c>
      <c r="C309" s="1218" t="s">
        <v>1847</v>
      </c>
      <c r="D309" s="1219">
        <v>1</v>
      </c>
      <c r="E309" s="1219">
        <v>1</v>
      </c>
      <c r="F309" s="1217" t="s">
        <v>1732</v>
      </c>
      <c r="G309" s="1217" t="s">
        <v>1733</v>
      </c>
      <c r="H309" s="1217" t="s">
        <v>1734</v>
      </c>
      <c r="I309" s="1217"/>
      <c r="J309" s="1217" t="s">
        <v>1848</v>
      </c>
      <c r="K309" s="1217" t="s">
        <v>1848</v>
      </c>
    </row>
    <row r="310" spans="2:18" ht="15.75" customHeight="1" thickBot="1" x14ac:dyDescent="0.3">
      <c r="B310" s="1218" t="s">
        <v>1849</v>
      </c>
      <c r="C310" s="1218" t="s">
        <v>1849</v>
      </c>
      <c r="D310" s="1219">
        <v>1</v>
      </c>
      <c r="E310" s="1219">
        <v>1</v>
      </c>
      <c r="F310" s="1217" t="s">
        <v>1732</v>
      </c>
      <c r="G310" s="1217" t="s">
        <v>1733</v>
      </c>
      <c r="H310" s="1217" t="s">
        <v>1734</v>
      </c>
      <c r="I310" s="1217"/>
      <c r="J310" s="1217" t="s">
        <v>1850</v>
      </c>
      <c r="K310" s="1217" t="s">
        <v>1850</v>
      </c>
    </row>
    <row r="311" spans="2:18" ht="15.75" thickBot="1" x14ac:dyDescent="0.3">
      <c r="B311" s="1267" t="s">
        <v>77</v>
      </c>
      <c r="C311" s="1267"/>
      <c r="D311" s="1267">
        <f>SUM(D44:D310)</f>
        <v>775</v>
      </c>
      <c r="E311" s="1267"/>
      <c r="F311" s="1267"/>
      <c r="G311" s="1267"/>
      <c r="H311" s="1267"/>
      <c r="I311" s="1267"/>
    </row>
    <row r="312" spans="2:18" x14ac:dyDescent="0.25">
      <c r="B312" s="33"/>
      <c r="Q312" s="58"/>
      <c r="R312" s="58"/>
    </row>
    <row r="313" spans="2:18" x14ac:dyDescent="0.25">
      <c r="B313" s="33"/>
      <c r="Q313" s="58"/>
      <c r="R313" s="58"/>
    </row>
    <row r="314" spans="2:18" x14ac:dyDescent="0.25">
      <c r="B314" s="1273" t="s">
        <v>904</v>
      </c>
      <c r="C314" s="1273"/>
      <c r="D314" s="1273"/>
      <c r="E314" s="1273"/>
      <c r="F314" s="1273"/>
      <c r="G314" s="1273"/>
      <c r="H314" s="1273"/>
      <c r="I314" s="1273"/>
      <c r="M314" s="55"/>
      <c r="Q314" s="58"/>
      <c r="R314" s="58"/>
    </row>
    <row r="315" spans="2:18" ht="15" customHeight="1" thickBot="1" x14ac:dyDescent="0.3">
      <c r="B315" s="778" t="s">
        <v>505</v>
      </c>
      <c r="C315" s="778"/>
      <c r="D315" s="778" t="s">
        <v>506</v>
      </c>
      <c r="E315" s="778"/>
      <c r="F315" s="1272" t="s">
        <v>580</v>
      </c>
      <c r="G315" s="1272"/>
      <c r="H315" s="1272" t="s">
        <v>1031</v>
      </c>
      <c r="I315" s="1272"/>
    </row>
    <row r="316" spans="2:18" ht="15.75" customHeight="1" thickBot="1" x14ac:dyDescent="0.3">
      <c r="B316" s="1312" t="s">
        <v>1870</v>
      </c>
      <c r="C316" s="1312"/>
      <c r="D316" s="1219">
        <v>1</v>
      </c>
      <c r="E316" s="1219"/>
      <c r="F316" s="1221" t="s">
        <v>1853</v>
      </c>
      <c r="G316" s="1221"/>
      <c r="H316" s="1221" t="s">
        <v>407</v>
      </c>
      <c r="I316" s="1221"/>
    </row>
    <row r="317" spans="2:18" ht="15.75" customHeight="1" thickBot="1" x14ac:dyDescent="0.3">
      <c r="B317" s="1312" t="s">
        <v>1885</v>
      </c>
      <c r="C317" s="1312"/>
      <c r="D317" s="1219">
        <v>1</v>
      </c>
      <c r="E317" s="1219"/>
      <c r="F317" s="1220" t="s">
        <v>1853</v>
      </c>
      <c r="G317" s="1220"/>
      <c r="H317" s="1220" t="s">
        <v>91</v>
      </c>
      <c r="I317" s="1220"/>
    </row>
    <row r="318" spans="2:18" ht="15.75" customHeight="1" thickBot="1" x14ac:dyDescent="0.3">
      <c r="B318" s="1312" t="s">
        <v>1885</v>
      </c>
      <c r="C318" s="1312"/>
      <c r="D318" s="1219">
        <v>1</v>
      </c>
      <c r="E318" s="1219"/>
      <c r="F318" s="1220" t="s">
        <v>1882</v>
      </c>
      <c r="G318" s="1220"/>
      <c r="H318" s="1220" t="s">
        <v>91</v>
      </c>
      <c r="I318" s="1220"/>
    </row>
    <row r="319" spans="2:18" ht="15.75" thickBot="1" x14ac:dyDescent="0.3">
      <c r="B319" s="1267" t="s">
        <v>77</v>
      </c>
      <c r="C319" s="1267"/>
      <c r="D319" s="1267">
        <f>SUM(D316:E318)</f>
        <v>3</v>
      </c>
      <c r="E319" s="1267"/>
      <c r="F319" s="1267"/>
      <c r="G319" s="1267"/>
      <c r="H319" s="1267"/>
      <c r="I319" s="1267"/>
    </row>
    <row r="320" spans="2:18" x14ac:dyDescent="0.25">
      <c r="B320" s="1013" t="s">
        <v>1922</v>
      </c>
      <c r="C320" s="1013"/>
      <c r="Q320" s="58"/>
      <c r="R320" s="58"/>
    </row>
    <row r="321" spans="2:18" x14ac:dyDescent="0.25">
      <c r="B321" s="33" t="s">
        <v>67</v>
      </c>
      <c r="Q321" s="58"/>
      <c r="R321" s="58"/>
    </row>
    <row r="322" spans="2:18" x14ac:dyDescent="0.25">
      <c r="B322" s="33"/>
      <c r="Q322" s="58"/>
      <c r="R322" s="58"/>
    </row>
    <row r="323" spans="2:18" x14ac:dyDescent="0.25">
      <c r="B323" s="59"/>
      <c r="C323" s="59"/>
      <c r="D323" s="59"/>
      <c r="E323" s="59"/>
    </row>
    <row r="324" spans="2:18" x14ac:dyDescent="0.25">
      <c r="B324" s="681" t="s">
        <v>816</v>
      </c>
      <c r="C324" s="518"/>
      <c r="D324" s="518"/>
      <c r="E324" s="518"/>
      <c r="F324" s="518"/>
    </row>
    <row r="325" spans="2:18" ht="15" customHeight="1" x14ac:dyDescent="0.25">
      <c r="B325" s="225"/>
      <c r="D325" s="778" t="s">
        <v>884</v>
      </c>
      <c r="E325" s="778"/>
      <c r="F325" s="778"/>
      <c r="G325" s="778"/>
      <c r="H325" s="778"/>
      <c r="I325" s="778" t="s">
        <v>430</v>
      </c>
      <c r="J325" s="778"/>
      <c r="K325" s="778"/>
      <c r="L325" s="778"/>
      <c r="M325" s="778"/>
      <c r="N325" s="778" t="s">
        <v>993</v>
      </c>
      <c r="O325" s="778"/>
      <c r="P325" s="778"/>
      <c r="Q325" s="778"/>
      <c r="R325" s="778"/>
    </row>
    <row r="326" spans="2:18" ht="32.25" customHeight="1" x14ac:dyDescent="0.25">
      <c r="B326" s="1158" t="s">
        <v>996</v>
      </c>
      <c r="C326" s="1158"/>
      <c r="D326" s="468" t="s">
        <v>29</v>
      </c>
      <c r="E326" s="200" t="s">
        <v>28</v>
      </c>
      <c r="F326" s="200" t="s">
        <v>970</v>
      </c>
      <c r="G326" s="803" t="s">
        <v>985</v>
      </c>
      <c r="H326" s="803"/>
      <c r="I326" s="468" t="s">
        <v>29</v>
      </c>
      <c r="J326" s="200" t="s">
        <v>28</v>
      </c>
      <c r="K326" s="200" t="s">
        <v>970</v>
      </c>
      <c r="L326" s="803" t="s">
        <v>985</v>
      </c>
      <c r="M326" s="803"/>
      <c r="N326" s="468" t="s">
        <v>29</v>
      </c>
      <c r="O326" s="200" t="s">
        <v>28</v>
      </c>
      <c r="P326" s="200" t="s">
        <v>970</v>
      </c>
      <c r="Q326" s="803" t="s">
        <v>985</v>
      </c>
      <c r="R326" s="803"/>
    </row>
    <row r="327" spans="2:18" ht="17.25" customHeight="1" x14ac:dyDescent="0.25">
      <c r="B327" s="1154" t="s">
        <v>422</v>
      </c>
      <c r="C327" s="1154"/>
      <c r="D327" s="471">
        <v>1</v>
      </c>
      <c r="E327" s="471">
        <v>0</v>
      </c>
      <c r="F327" s="471">
        <v>0</v>
      </c>
      <c r="G327" s="1154">
        <v>1</v>
      </c>
      <c r="H327" s="1262"/>
      <c r="I327" s="411">
        <v>3</v>
      </c>
      <c r="J327" s="471">
        <v>3</v>
      </c>
      <c r="K327" s="471">
        <v>0</v>
      </c>
      <c r="L327" s="1154">
        <v>6</v>
      </c>
      <c r="M327" s="1154"/>
      <c r="N327" s="411">
        <v>0</v>
      </c>
      <c r="O327" s="471">
        <v>0</v>
      </c>
      <c r="P327" s="471">
        <v>0</v>
      </c>
      <c r="Q327" s="1154">
        <v>0</v>
      </c>
      <c r="R327" s="1154"/>
    </row>
    <row r="328" spans="2:18" ht="30.75" customHeight="1" thickBot="1" x14ac:dyDescent="0.3">
      <c r="B328" s="1141" t="s">
        <v>507</v>
      </c>
      <c r="C328" s="1141"/>
      <c r="D328" s="496">
        <v>10</v>
      </c>
      <c r="E328" s="567" t="s">
        <v>51</v>
      </c>
      <c r="F328" s="567" t="s">
        <v>51</v>
      </c>
      <c r="G328" s="1264">
        <v>10</v>
      </c>
      <c r="H328" s="1265"/>
      <c r="I328" s="497">
        <v>7.7</v>
      </c>
      <c r="J328" s="498">
        <v>10</v>
      </c>
      <c r="K328" s="567" t="s">
        <v>51</v>
      </c>
      <c r="L328" s="1211">
        <v>8.8000000000000007</v>
      </c>
      <c r="M328" s="1211"/>
      <c r="N328" s="588" t="s">
        <v>51</v>
      </c>
      <c r="O328" s="565" t="s">
        <v>51</v>
      </c>
      <c r="P328" s="565" t="s">
        <v>51</v>
      </c>
      <c r="Q328" s="1242" t="s">
        <v>51</v>
      </c>
      <c r="R328" s="1242"/>
    </row>
    <row r="329" spans="2:18" ht="45.75" customHeight="1" thickBot="1" x14ac:dyDescent="0.3">
      <c r="B329" s="1141" t="s">
        <v>508</v>
      </c>
      <c r="C329" s="1141"/>
      <c r="D329" s="496">
        <v>10</v>
      </c>
      <c r="E329" s="567" t="s">
        <v>51</v>
      </c>
      <c r="F329" s="567" t="s">
        <v>51</v>
      </c>
      <c r="G329" s="1207">
        <v>10</v>
      </c>
      <c r="H329" s="1261"/>
      <c r="I329" s="497">
        <v>6.3</v>
      </c>
      <c r="J329" s="498">
        <v>7.3</v>
      </c>
      <c r="K329" s="567" t="s">
        <v>51</v>
      </c>
      <c r="L329" s="1211">
        <v>6.8</v>
      </c>
      <c r="M329" s="1211"/>
      <c r="N329" s="588" t="s">
        <v>51</v>
      </c>
      <c r="O329" s="565" t="s">
        <v>51</v>
      </c>
      <c r="P329" s="565" t="s">
        <v>51</v>
      </c>
      <c r="Q329" s="1242" t="s">
        <v>51</v>
      </c>
      <c r="R329" s="1242"/>
    </row>
    <row r="330" spans="2:18" ht="47.25" customHeight="1" thickBot="1" x14ac:dyDescent="0.3">
      <c r="B330" s="1141" t="s">
        <v>509</v>
      </c>
      <c r="C330" s="1141"/>
      <c r="D330" s="496">
        <v>10</v>
      </c>
      <c r="E330" s="567" t="s">
        <v>51</v>
      </c>
      <c r="F330" s="567" t="s">
        <v>51</v>
      </c>
      <c r="G330" s="1207">
        <v>10</v>
      </c>
      <c r="H330" s="1261"/>
      <c r="I330" s="497">
        <v>7.7</v>
      </c>
      <c r="J330" s="498">
        <v>7</v>
      </c>
      <c r="K330" s="567" t="s">
        <v>51</v>
      </c>
      <c r="L330" s="1211">
        <v>7.3</v>
      </c>
      <c r="M330" s="1211"/>
      <c r="N330" s="588" t="s">
        <v>51</v>
      </c>
      <c r="O330" s="565" t="s">
        <v>51</v>
      </c>
      <c r="P330" s="565" t="s">
        <v>51</v>
      </c>
      <c r="Q330" s="1242" t="s">
        <v>51</v>
      </c>
      <c r="R330" s="1242"/>
    </row>
    <row r="331" spans="2:18" ht="35.25" customHeight="1" thickBot="1" x14ac:dyDescent="0.3">
      <c r="B331" s="1141" t="s">
        <v>510</v>
      </c>
      <c r="C331" s="1141"/>
      <c r="D331" s="496">
        <v>10</v>
      </c>
      <c r="E331" s="567" t="s">
        <v>51</v>
      </c>
      <c r="F331" s="567" t="s">
        <v>51</v>
      </c>
      <c r="G331" s="1207">
        <v>10</v>
      </c>
      <c r="H331" s="1261"/>
      <c r="I331" s="497">
        <v>6</v>
      </c>
      <c r="J331" s="498">
        <v>9.3000000000000007</v>
      </c>
      <c r="K331" s="567" t="s">
        <v>51</v>
      </c>
      <c r="L331" s="1211">
        <v>7.7</v>
      </c>
      <c r="M331" s="1211"/>
      <c r="N331" s="588" t="s">
        <v>51</v>
      </c>
      <c r="O331" s="565" t="s">
        <v>51</v>
      </c>
      <c r="P331" s="565" t="s">
        <v>51</v>
      </c>
      <c r="Q331" s="1242" t="s">
        <v>51</v>
      </c>
      <c r="R331" s="1242"/>
    </row>
    <row r="332" spans="2:18" ht="48.75" customHeight="1" thickBot="1" x14ac:dyDescent="0.3">
      <c r="B332" s="1141" t="s">
        <v>511</v>
      </c>
      <c r="C332" s="1141"/>
      <c r="D332" s="496">
        <v>10</v>
      </c>
      <c r="E332" s="567" t="s">
        <v>51</v>
      </c>
      <c r="F332" s="567" t="s">
        <v>51</v>
      </c>
      <c r="G332" s="1207">
        <v>10</v>
      </c>
      <c r="H332" s="1261"/>
      <c r="I332" s="497">
        <v>8.6999999999999993</v>
      </c>
      <c r="J332" s="498">
        <v>9</v>
      </c>
      <c r="K332" s="567" t="s">
        <v>51</v>
      </c>
      <c r="L332" s="1211">
        <v>8.8000000000000007</v>
      </c>
      <c r="M332" s="1211"/>
      <c r="N332" s="588" t="s">
        <v>51</v>
      </c>
      <c r="O332" s="565" t="s">
        <v>51</v>
      </c>
      <c r="P332" s="565" t="s">
        <v>51</v>
      </c>
      <c r="Q332" s="1242" t="s">
        <v>51</v>
      </c>
      <c r="R332" s="1242"/>
    </row>
    <row r="333" spans="2:18" ht="36.75" customHeight="1" thickBot="1" x14ac:dyDescent="0.3">
      <c r="B333" s="1141" t="s">
        <v>1023</v>
      </c>
      <c r="C333" s="1141"/>
      <c r="D333" s="496">
        <v>10</v>
      </c>
      <c r="E333" s="567" t="s">
        <v>51</v>
      </c>
      <c r="F333" s="567" t="s">
        <v>51</v>
      </c>
      <c r="G333" s="1207">
        <v>10</v>
      </c>
      <c r="H333" s="1261"/>
      <c r="I333" s="497">
        <v>8.6999999999999993</v>
      </c>
      <c r="J333" s="498">
        <v>9.6999999999999993</v>
      </c>
      <c r="K333" s="567" t="s">
        <v>51</v>
      </c>
      <c r="L333" s="1211">
        <v>9.1999999999999993</v>
      </c>
      <c r="M333" s="1211"/>
      <c r="N333" s="588" t="s">
        <v>51</v>
      </c>
      <c r="O333" s="565" t="s">
        <v>51</v>
      </c>
      <c r="P333" s="565" t="s">
        <v>51</v>
      </c>
      <c r="Q333" s="1242" t="s">
        <v>51</v>
      </c>
      <c r="R333" s="1242"/>
    </row>
    <row r="334" spans="2:18" ht="39.75" customHeight="1" thickBot="1" x14ac:dyDescent="0.3">
      <c r="B334" s="1141" t="s">
        <v>512</v>
      </c>
      <c r="C334" s="1141"/>
      <c r="D334" s="496">
        <v>10</v>
      </c>
      <c r="E334" s="567" t="s">
        <v>51</v>
      </c>
      <c r="F334" s="567" t="s">
        <v>51</v>
      </c>
      <c r="G334" s="1207">
        <v>10</v>
      </c>
      <c r="H334" s="1261"/>
      <c r="I334" s="497">
        <v>5.3</v>
      </c>
      <c r="J334" s="498">
        <v>9</v>
      </c>
      <c r="K334" s="567" t="s">
        <v>51</v>
      </c>
      <c r="L334" s="1211">
        <v>7.2</v>
      </c>
      <c r="M334" s="1211"/>
      <c r="N334" s="588" t="s">
        <v>51</v>
      </c>
      <c r="O334" s="565" t="s">
        <v>51</v>
      </c>
      <c r="P334" s="565" t="s">
        <v>51</v>
      </c>
      <c r="Q334" s="1242" t="s">
        <v>51</v>
      </c>
      <c r="R334" s="1242"/>
    </row>
    <row r="335" spans="2:18" ht="34.5" customHeight="1" thickBot="1" x14ac:dyDescent="0.3">
      <c r="B335" s="1141" t="s">
        <v>1024</v>
      </c>
      <c r="C335" s="1141"/>
      <c r="D335" s="496">
        <v>10</v>
      </c>
      <c r="E335" s="567" t="s">
        <v>51</v>
      </c>
      <c r="F335" s="567" t="s">
        <v>51</v>
      </c>
      <c r="G335" s="1207">
        <v>10</v>
      </c>
      <c r="H335" s="1261"/>
      <c r="I335" s="497">
        <v>9.6999999999999993</v>
      </c>
      <c r="J335" s="498">
        <v>10</v>
      </c>
      <c r="K335" s="567" t="s">
        <v>51</v>
      </c>
      <c r="L335" s="1211">
        <v>9.8000000000000007</v>
      </c>
      <c r="M335" s="1211"/>
      <c r="N335" s="588" t="s">
        <v>51</v>
      </c>
      <c r="O335" s="565" t="s">
        <v>51</v>
      </c>
      <c r="P335" s="565" t="s">
        <v>51</v>
      </c>
      <c r="Q335" s="1242" t="s">
        <v>51</v>
      </c>
      <c r="R335" s="1242"/>
    </row>
    <row r="336" spans="2:18" ht="44.25" customHeight="1" thickBot="1" x14ac:dyDescent="0.3">
      <c r="B336" s="1141" t="s">
        <v>1025</v>
      </c>
      <c r="C336" s="1141"/>
      <c r="D336" s="496">
        <v>10</v>
      </c>
      <c r="E336" s="567" t="s">
        <v>51</v>
      </c>
      <c r="F336" s="567" t="s">
        <v>51</v>
      </c>
      <c r="G336" s="1207">
        <v>10</v>
      </c>
      <c r="H336" s="1261"/>
      <c r="I336" s="497">
        <v>8</v>
      </c>
      <c r="J336" s="498">
        <v>8.6999999999999993</v>
      </c>
      <c r="K336" s="567" t="s">
        <v>51</v>
      </c>
      <c r="L336" s="1211">
        <v>8.3000000000000007</v>
      </c>
      <c r="M336" s="1211"/>
      <c r="N336" s="588" t="s">
        <v>51</v>
      </c>
      <c r="O336" s="565" t="s">
        <v>51</v>
      </c>
      <c r="P336" s="565" t="s">
        <v>51</v>
      </c>
      <c r="Q336" s="1242" t="s">
        <v>51</v>
      </c>
      <c r="R336" s="1242"/>
    </row>
    <row r="337" spans="2:18" ht="54.75" customHeight="1" thickBot="1" x14ac:dyDescent="0.3">
      <c r="B337" s="1141" t="s">
        <v>1026</v>
      </c>
      <c r="C337" s="1141"/>
      <c r="D337" s="496">
        <v>10</v>
      </c>
      <c r="E337" s="567" t="s">
        <v>51</v>
      </c>
      <c r="F337" s="567" t="s">
        <v>51</v>
      </c>
      <c r="G337" s="1207">
        <v>10</v>
      </c>
      <c r="H337" s="1261"/>
      <c r="I337" s="497">
        <v>10</v>
      </c>
      <c r="J337" s="498">
        <v>10</v>
      </c>
      <c r="K337" s="567" t="s">
        <v>51</v>
      </c>
      <c r="L337" s="1211">
        <v>10</v>
      </c>
      <c r="M337" s="1211"/>
      <c r="N337" s="588" t="s">
        <v>51</v>
      </c>
      <c r="O337" s="565" t="s">
        <v>51</v>
      </c>
      <c r="P337" s="565" t="s">
        <v>51</v>
      </c>
      <c r="Q337" s="1242" t="s">
        <v>51</v>
      </c>
      <c r="R337" s="1242"/>
    </row>
    <row r="338" spans="2:18" ht="55.5" customHeight="1" thickBot="1" x14ac:dyDescent="0.3">
      <c r="B338" s="1141" t="s">
        <v>1027</v>
      </c>
      <c r="C338" s="1141"/>
      <c r="D338" s="496">
        <v>10</v>
      </c>
      <c r="E338" s="567" t="s">
        <v>51</v>
      </c>
      <c r="F338" s="567" t="s">
        <v>51</v>
      </c>
      <c r="G338" s="1207">
        <v>10</v>
      </c>
      <c r="H338" s="1261"/>
      <c r="I338" s="497">
        <v>8</v>
      </c>
      <c r="J338" s="498">
        <v>10</v>
      </c>
      <c r="K338" s="567" t="s">
        <v>51</v>
      </c>
      <c r="L338" s="1211">
        <v>9</v>
      </c>
      <c r="M338" s="1211"/>
      <c r="N338" s="588" t="s">
        <v>51</v>
      </c>
      <c r="O338" s="565" t="s">
        <v>51</v>
      </c>
      <c r="P338" s="565" t="s">
        <v>51</v>
      </c>
      <c r="Q338" s="1242" t="s">
        <v>51</v>
      </c>
      <c r="R338" s="1242"/>
    </row>
    <row r="339" spans="2:18" ht="45" customHeight="1" thickBot="1" x14ac:dyDescent="0.3">
      <c r="B339" s="1141" t="s">
        <v>1028</v>
      </c>
      <c r="C339" s="1141"/>
      <c r="D339" s="499">
        <v>8</v>
      </c>
      <c r="E339" s="567" t="s">
        <v>51</v>
      </c>
      <c r="F339" s="567" t="s">
        <v>51</v>
      </c>
      <c r="G339" s="1207">
        <v>8</v>
      </c>
      <c r="H339" s="1261"/>
      <c r="I339" s="500">
        <v>8.3000000000000007</v>
      </c>
      <c r="J339" s="501">
        <v>10</v>
      </c>
      <c r="K339" s="567" t="s">
        <v>51</v>
      </c>
      <c r="L339" s="1139">
        <v>9.1999999999999993</v>
      </c>
      <c r="M339" s="1139"/>
      <c r="N339" s="588" t="s">
        <v>51</v>
      </c>
      <c r="O339" s="565" t="s">
        <v>51</v>
      </c>
      <c r="P339" s="565" t="s">
        <v>51</v>
      </c>
      <c r="Q339" s="1242" t="s">
        <v>51</v>
      </c>
      <c r="R339" s="1242"/>
    </row>
    <row r="340" spans="2:18" ht="45" customHeight="1" thickBot="1" x14ac:dyDescent="0.3">
      <c r="B340" s="1279" t="s">
        <v>1029</v>
      </c>
      <c r="C340" s="1279"/>
      <c r="D340" s="502">
        <v>10</v>
      </c>
      <c r="E340" s="503" t="s">
        <v>51</v>
      </c>
      <c r="F340" s="566" t="s">
        <v>51</v>
      </c>
      <c r="G340" s="1277">
        <v>10</v>
      </c>
      <c r="H340" s="1278"/>
      <c r="I340" s="504">
        <v>7.3</v>
      </c>
      <c r="J340" s="503">
        <v>9.6999999999999993</v>
      </c>
      <c r="K340" s="503" t="s">
        <v>51</v>
      </c>
      <c r="L340" s="1202">
        <v>8.5</v>
      </c>
      <c r="M340" s="1202"/>
      <c r="N340" s="589" t="s">
        <v>51</v>
      </c>
      <c r="O340" s="564" t="s">
        <v>51</v>
      </c>
      <c r="P340" s="564" t="s">
        <v>51</v>
      </c>
      <c r="Q340" s="1238" t="s">
        <v>51</v>
      </c>
      <c r="R340" s="1238"/>
    </row>
    <row r="341" spans="2:18" ht="15" customHeight="1" x14ac:dyDescent="0.25">
      <c r="B341" s="1013" t="s">
        <v>1922</v>
      </c>
      <c r="C341" s="1013"/>
    </row>
    <row r="342" spans="2:18" x14ac:dyDescent="0.25">
      <c r="B342" s="41" t="s">
        <v>755</v>
      </c>
      <c r="F342" s="45"/>
    </row>
    <row r="343" spans="2:18" x14ac:dyDescent="0.25">
      <c r="B343" s="440"/>
      <c r="C343" s="440"/>
      <c r="F343" s="45"/>
    </row>
    <row r="345" spans="2:18" x14ac:dyDescent="0.25">
      <c r="B345" s="681" t="s">
        <v>817</v>
      </c>
      <c r="C345" s="518"/>
      <c r="D345" s="518"/>
      <c r="E345" s="518"/>
      <c r="F345" s="518"/>
    </row>
    <row r="346" spans="2:18" ht="15" customHeight="1" x14ac:dyDescent="0.25">
      <c r="B346" s="225"/>
      <c r="D346" s="778" t="s">
        <v>884</v>
      </c>
      <c r="E346" s="778"/>
      <c r="F346" s="778"/>
      <c r="G346" s="778"/>
      <c r="H346" s="778"/>
      <c r="I346" s="778" t="s">
        <v>430</v>
      </c>
      <c r="J346" s="778"/>
      <c r="K346" s="778"/>
      <c r="L346" s="778"/>
      <c r="M346" s="778"/>
      <c r="N346" s="778" t="s">
        <v>993</v>
      </c>
      <c r="O346" s="778"/>
      <c r="P346" s="778"/>
      <c r="Q346" s="778"/>
      <c r="R346" s="778"/>
    </row>
    <row r="347" spans="2:18" ht="31.5" customHeight="1" x14ac:dyDescent="0.25">
      <c r="B347" s="1158" t="s">
        <v>996</v>
      </c>
      <c r="C347" s="1158"/>
      <c r="D347" s="468" t="s">
        <v>29</v>
      </c>
      <c r="E347" s="200" t="s">
        <v>28</v>
      </c>
      <c r="F347" s="200" t="s">
        <v>970</v>
      </c>
      <c r="G347" s="803" t="s">
        <v>985</v>
      </c>
      <c r="H347" s="803"/>
      <c r="I347" s="468" t="s">
        <v>29</v>
      </c>
      <c r="J347" s="200" t="s">
        <v>28</v>
      </c>
      <c r="K347" s="200" t="s">
        <v>970</v>
      </c>
      <c r="L347" s="803" t="s">
        <v>985</v>
      </c>
      <c r="M347" s="803"/>
      <c r="N347" s="468" t="s">
        <v>29</v>
      </c>
      <c r="O347" s="200" t="s">
        <v>28</v>
      </c>
      <c r="P347" s="200" t="s">
        <v>970</v>
      </c>
      <c r="Q347" s="803" t="s">
        <v>985</v>
      </c>
      <c r="R347" s="803"/>
    </row>
    <row r="348" spans="2:18" ht="18.75" customHeight="1" x14ac:dyDescent="0.25">
      <c r="B348" s="1154" t="s">
        <v>422</v>
      </c>
      <c r="C348" s="1154"/>
      <c r="D348" s="471">
        <v>1</v>
      </c>
      <c r="E348" s="471">
        <v>2</v>
      </c>
      <c r="F348" s="471">
        <v>0</v>
      </c>
      <c r="G348" s="1154">
        <v>3</v>
      </c>
      <c r="H348" s="1262"/>
      <c r="I348" s="411">
        <v>3</v>
      </c>
      <c r="J348" s="471">
        <v>4</v>
      </c>
      <c r="K348" s="471">
        <v>0</v>
      </c>
      <c r="L348" s="1154">
        <v>7</v>
      </c>
      <c r="M348" s="1154"/>
      <c r="N348" s="411">
        <v>0</v>
      </c>
      <c r="O348" s="471">
        <v>0</v>
      </c>
      <c r="P348" s="471">
        <v>0</v>
      </c>
      <c r="Q348" s="1154">
        <v>0</v>
      </c>
      <c r="R348" s="1154"/>
    </row>
    <row r="349" spans="2:18" ht="26.25" customHeight="1" thickBot="1" x14ac:dyDescent="0.3">
      <c r="B349" s="1141" t="s">
        <v>1082</v>
      </c>
      <c r="C349" s="1141"/>
      <c r="D349" s="496">
        <v>10</v>
      </c>
      <c r="E349" s="498">
        <v>10</v>
      </c>
      <c r="F349" s="567" t="s">
        <v>51</v>
      </c>
      <c r="G349" s="1211">
        <v>10</v>
      </c>
      <c r="H349" s="1211"/>
      <c r="I349" s="497">
        <v>7.7</v>
      </c>
      <c r="J349" s="498">
        <v>10</v>
      </c>
      <c r="K349" s="567" t="s">
        <v>51</v>
      </c>
      <c r="L349" s="1211">
        <v>9</v>
      </c>
      <c r="M349" s="1259"/>
      <c r="N349" s="565" t="s">
        <v>51</v>
      </c>
      <c r="O349" s="565" t="s">
        <v>51</v>
      </c>
      <c r="P349" s="565" t="s">
        <v>51</v>
      </c>
      <c r="Q349" s="1242" t="s">
        <v>51</v>
      </c>
      <c r="R349" s="1242"/>
    </row>
    <row r="350" spans="2:18" ht="56.25" customHeight="1" thickBot="1" x14ac:dyDescent="0.3">
      <c r="B350" s="1141" t="s">
        <v>1083</v>
      </c>
      <c r="C350" s="1141"/>
      <c r="D350" s="496">
        <v>10</v>
      </c>
      <c r="E350" s="498">
        <v>9.5</v>
      </c>
      <c r="F350" s="567" t="s">
        <v>51</v>
      </c>
      <c r="G350" s="1211">
        <v>9.6999999999999993</v>
      </c>
      <c r="H350" s="1211"/>
      <c r="I350" s="497">
        <v>6.7</v>
      </c>
      <c r="J350" s="498">
        <v>9.5</v>
      </c>
      <c r="K350" s="567" t="s">
        <v>51</v>
      </c>
      <c r="L350" s="1211">
        <v>8.3000000000000007</v>
      </c>
      <c r="M350" s="1259"/>
      <c r="N350" s="565" t="s">
        <v>51</v>
      </c>
      <c r="O350" s="565" t="s">
        <v>51</v>
      </c>
      <c r="P350" s="565" t="s">
        <v>51</v>
      </c>
      <c r="Q350" s="1225" t="s">
        <v>51</v>
      </c>
      <c r="R350" s="1225"/>
    </row>
    <row r="351" spans="2:18" ht="36.75" customHeight="1" thickBot="1" x14ac:dyDescent="0.3">
      <c r="B351" s="1141" t="s">
        <v>1084</v>
      </c>
      <c r="C351" s="1141"/>
      <c r="D351" s="496">
        <v>10</v>
      </c>
      <c r="E351" s="498">
        <v>10</v>
      </c>
      <c r="F351" s="567" t="s">
        <v>51</v>
      </c>
      <c r="G351" s="1211">
        <v>10</v>
      </c>
      <c r="H351" s="1211"/>
      <c r="I351" s="497">
        <v>5.7</v>
      </c>
      <c r="J351" s="498">
        <v>8.8000000000000007</v>
      </c>
      <c r="K351" s="567" t="s">
        <v>51</v>
      </c>
      <c r="L351" s="1211">
        <v>7.4</v>
      </c>
      <c r="M351" s="1259"/>
      <c r="N351" s="565" t="s">
        <v>51</v>
      </c>
      <c r="O351" s="565" t="s">
        <v>51</v>
      </c>
      <c r="P351" s="565" t="s">
        <v>51</v>
      </c>
      <c r="Q351" s="1225" t="s">
        <v>51</v>
      </c>
      <c r="R351" s="1225"/>
    </row>
    <row r="352" spans="2:18" ht="36.75" customHeight="1" thickBot="1" x14ac:dyDescent="0.3">
      <c r="B352" s="1141" t="s">
        <v>1085</v>
      </c>
      <c r="C352" s="1141"/>
      <c r="D352" s="496">
        <v>10</v>
      </c>
      <c r="E352" s="498">
        <v>10</v>
      </c>
      <c r="F352" s="567" t="s">
        <v>51</v>
      </c>
      <c r="G352" s="1211">
        <v>10</v>
      </c>
      <c r="H352" s="1211"/>
      <c r="I352" s="497">
        <v>7</v>
      </c>
      <c r="J352" s="496">
        <v>9</v>
      </c>
      <c r="K352" s="567" t="s">
        <v>51</v>
      </c>
      <c r="L352" s="1211">
        <v>8.1</v>
      </c>
      <c r="M352" s="1259"/>
      <c r="N352" s="565" t="s">
        <v>51</v>
      </c>
      <c r="O352" s="565" t="s">
        <v>51</v>
      </c>
      <c r="P352" s="565" t="s">
        <v>51</v>
      </c>
      <c r="Q352" s="1225" t="s">
        <v>51</v>
      </c>
      <c r="R352" s="1225"/>
    </row>
    <row r="353" spans="2:19" ht="36.75" customHeight="1" thickBot="1" x14ac:dyDescent="0.3">
      <c r="B353" s="1141" t="s">
        <v>1081</v>
      </c>
      <c r="C353" s="1141"/>
      <c r="D353" s="496">
        <v>10</v>
      </c>
      <c r="E353" s="498">
        <v>10</v>
      </c>
      <c r="F353" s="567" t="s">
        <v>51</v>
      </c>
      <c r="G353" s="1211">
        <v>10</v>
      </c>
      <c r="H353" s="1211"/>
      <c r="I353" s="497">
        <v>6.3</v>
      </c>
      <c r="J353" s="498">
        <v>7</v>
      </c>
      <c r="K353" s="567" t="s">
        <v>51</v>
      </c>
      <c r="L353" s="1211">
        <v>6.7</v>
      </c>
      <c r="M353" s="1259"/>
      <c r="N353" s="565" t="s">
        <v>51</v>
      </c>
      <c r="O353" s="565" t="s">
        <v>51</v>
      </c>
      <c r="P353" s="565" t="s">
        <v>51</v>
      </c>
      <c r="Q353" s="1225" t="s">
        <v>51</v>
      </c>
      <c r="R353" s="1225"/>
    </row>
    <row r="354" spans="2:19" ht="33.75" customHeight="1" thickBot="1" x14ac:dyDescent="0.3">
      <c r="B354" s="1141" t="s">
        <v>1086</v>
      </c>
      <c r="C354" s="1141"/>
      <c r="D354" s="496">
        <v>9</v>
      </c>
      <c r="E354" s="498">
        <v>8.5</v>
      </c>
      <c r="F354" s="567" t="s">
        <v>51</v>
      </c>
      <c r="G354" s="1211">
        <v>8.6999999999999993</v>
      </c>
      <c r="H354" s="1211"/>
      <c r="I354" s="497">
        <v>7.3</v>
      </c>
      <c r="J354" s="496">
        <v>8.3000000000000007</v>
      </c>
      <c r="K354" s="567" t="s">
        <v>51</v>
      </c>
      <c r="L354" s="1211">
        <v>7.9</v>
      </c>
      <c r="M354" s="1259"/>
      <c r="N354" s="565" t="s">
        <v>51</v>
      </c>
      <c r="O354" s="565" t="s">
        <v>51</v>
      </c>
      <c r="P354" s="565" t="s">
        <v>51</v>
      </c>
      <c r="Q354" s="1225" t="s">
        <v>51</v>
      </c>
      <c r="R354" s="1225"/>
    </row>
    <row r="355" spans="2:19" ht="50.25" customHeight="1" thickBot="1" x14ac:dyDescent="0.3">
      <c r="B355" s="1141" t="s">
        <v>1087</v>
      </c>
      <c r="C355" s="1141"/>
      <c r="D355" s="496">
        <v>10</v>
      </c>
      <c r="E355" s="498">
        <v>9</v>
      </c>
      <c r="F355" s="567" t="s">
        <v>51</v>
      </c>
      <c r="G355" s="1211">
        <v>9.3000000000000007</v>
      </c>
      <c r="H355" s="1211"/>
      <c r="I355" s="497">
        <v>6</v>
      </c>
      <c r="J355" s="498">
        <v>7</v>
      </c>
      <c r="K355" s="567" t="s">
        <v>51</v>
      </c>
      <c r="L355" s="1211">
        <v>6.6</v>
      </c>
      <c r="M355" s="1259"/>
      <c r="N355" s="565" t="s">
        <v>51</v>
      </c>
      <c r="O355" s="565" t="s">
        <v>51</v>
      </c>
      <c r="P355" s="565" t="s">
        <v>51</v>
      </c>
      <c r="Q355" s="1225" t="s">
        <v>51</v>
      </c>
      <c r="R355" s="1225"/>
    </row>
    <row r="356" spans="2:19" ht="56.25" customHeight="1" thickBot="1" x14ac:dyDescent="0.3">
      <c r="B356" s="1141" t="s">
        <v>1088</v>
      </c>
      <c r="C356" s="1141"/>
      <c r="D356" s="496">
        <v>10</v>
      </c>
      <c r="E356" s="498">
        <v>8</v>
      </c>
      <c r="F356" s="567" t="s">
        <v>51</v>
      </c>
      <c r="G356" s="1264">
        <v>8.6999999999999993</v>
      </c>
      <c r="H356" s="1264"/>
      <c r="I356" s="497">
        <v>6.3</v>
      </c>
      <c r="J356" s="498">
        <v>6</v>
      </c>
      <c r="K356" s="567" t="s">
        <v>51</v>
      </c>
      <c r="L356" s="1211">
        <v>6.1</v>
      </c>
      <c r="M356" s="1259"/>
      <c r="N356" s="565" t="s">
        <v>51</v>
      </c>
      <c r="O356" s="565" t="s">
        <v>51</v>
      </c>
      <c r="P356" s="565" t="s">
        <v>51</v>
      </c>
      <c r="Q356" s="1225" t="s">
        <v>51</v>
      </c>
      <c r="R356" s="1225"/>
    </row>
    <row r="357" spans="2:19" ht="46.5" customHeight="1" thickBot="1" x14ac:dyDescent="0.3">
      <c r="B357" s="1141" t="s">
        <v>1089</v>
      </c>
      <c r="C357" s="1141"/>
      <c r="D357" s="496">
        <v>10</v>
      </c>
      <c r="E357" s="498">
        <v>10</v>
      </c>
      <c r="F357" s="567" t="s">
        <v>51</v>
      </c>
      <c r="G357" s="1264">
        <v>10</v>
      </c>
      <c r="H357" s="1264"/>
      <c r="I357" s="497">
        <v>6</v>
      </c>
      <c r="J357" s="498">
        <v>4.8</v>
      </c>
      <c r="K357" s="567" t="s">
        <v>51</v>
      </c>
      <c r="L357" s="1211">
        <v>5.3</v>
      </c>
      <c r="M357" s="1259"/>
      <c r="N357" s="565" t="s">
        <v>51</v>
      </c>
      <c r="O357" s="565" t="s">
        <v>51</v>
      </c>
      <c r="P357" s="565" t="s">
        <v>51</v>
      </c>
      <c r="Q357" s="1225" t="s">
        <v>51</v>
      </c>
      <c r="R357" s="1225"/>
    </row>
    <row r="358" spans="2:19" ht="46.5" customHeight="1" thickBot="1" x14ac:dyDescent="0.3">
      <c r="B358" s="1279" t="s">
        <v>1090</v>
      </c>
      <c r="C358" s="1279"/>
      <c r="D358" s="502">
        <v>10</v>
      </c>
      <c r="E358" s="503">
        <v>8.5</v>
      </c>
      <c r="F358" s="566" t="s">
        <v>51</v>
      </c>
      <c r="G358" s="1277">
        <v>9</v>
      </c>
      <c r="H358" s="1278"/>
      <c r="I358" s="504">
        <v>5.7</v>
      </c>
      <c r="J358" s="503">
        <v>7.8</v>
      </c>
      <c r="K358" s="566" t="s">
        <v>51</v>
      </c>
      <c r="L358" s="1202">
        <v>6.9</v>
      </c>
      <c r="M358" s="1263"/>
      <c r="N358" s="565" t="s">
        <v>51</v>
      </c>
      <c r="O358" s="565" t="s">
        <v>51</v>
      </c>
      <c r="P358" s="565" t="s">
        <v>51</v>
      </c>
      <c r="Q358" s="1225" t="s">
        <v>51</v>
      </c>
      <c r="R358" s="1225"/>
    </row>
    <row r="359" spans="2:19" ht="15" customHeight="1" x14ac:dyDescent="0.25">
      <c r="B359" s="1013" t="s">
        <v>1922</v>
      </c>
      <c r="C359" s="1013"/>
      <c r="D359" s="590"/>
      <c r="J359" s="591"/>
    </row>
    <row r="360" spans="2:19" x14ac:dyDescent="0.25">
      <c r="B360" s="41" t="s">
        <v>756</v>
      </c>
      <c r="G360" s="8"/>
    </row>
    <row r="363" spans="2:19" x14ac:dyDescent="0.25">
      <c r="B363" s="681" t="s">
        <v>1250</v>
      </c>
      <c r="C363" s="518"/>
      <c r="D363" s="518"/>
      <c r="E363" s="518"/>
      <c r="F363" s="518"/>
      <c r="G363" s="518"/>
      <c r="H363" s="518"/>
      <c r="I363" s="682"/>
    </row>
    <row r="364" spans="2:19" ht="15" customHeight="1" x14ac:dyDescent="0.25">
      <c r="B364" s="1228" t="s">
        <v>7</v>
      </c>
      <c r="C364" s="1228"/>
      <c r="D364" s="1228"/>
      <c r="E364" s="1228"/>
      <c r="F364" s="1228"/>
      <c r="G364" s="1228"/>
      <c r="H364" s="1228"/>
      <c r="I364" s="1228"/>
      <c r="J364" s="1228"/>
      <c r="K364" s="1228"/>
      <c r="L364" s="1228"/>
      <c r="M364" s="1228"/>
      <c r="N364" s="48"/>
    </row>
    <row r="365" spans="2:19" ht="15" customHeight="1" x14ac:dyDescent="0.25">
      <c r="B365" s="1153" t="s">
        <v>249</v>
      </c>
      <c r="C365" s="1153"/>
      <c r="D365" s="1158" t="s">
        <v>1099</v>
      </c>
      <c r="E365" s="1158"/>
      <c r="F365" s="1158" t="s">
        <v>514</v>
      </c>
      <c r="G365" s="1158"/>
      <c r="H365" s="1158" t="s">
        <v>1114</v>
      </c>
      <c r="I365" s="1158"/>
      <c r="J365" s="1158" t="s">
        <v>520</v>
      </c>
      <c r="K365" s="1158"/>
      <c r="L365" s="1158" t="s">
        <v>581</v>
      </c>
      <c r="M365" s="1158"/>
      <c r="N365" s="48"/>
    </row>
    <row r="366" spans="2:19" ht="48.75" customHeight="1" thickBot="1" x14ac:dyDescent="0.3">
      <c r="B366" s="1158"/>
      <c r="C366" s="1158"/>
      <c r="D366" s="1248" t="s">
        <v>1092</v>
      </c>
      <c r="E366" s="1248"/>
      <c r="F366" s="1248" t="s">
        <v>1093</v>
      </c>
      <c r="G366" s="1248"/>
      <c r="H366" s="1248" t="s">
        <v>1115</v>
      </c>
      <c r="I366" s="1248"/>
      <c r="J366" s="1248" t="s">
        <v>1203</v>
      </c>
      <c r="K366" s="1248"/>
      <c r="L366" s="1266" t="s">
        <v>1091</v>
      </c>
      <c r="M366" s="1266"/>
    </row>
    <row r="367" spans="2:19" ht="19.5" customHeight="1" thickBot="1" x14ac:dyDescent="0.3">
      <c r="B367" s="1141" t="s">
        <v>271</v>
      </c>
      <c r="C367" s="1141"/>
      <c r="D367" s="1223">
        <v>5.17</v>
      </c>
      <c r="E367" s="1223"/>
      <c r="F367" s="1223">
        <v>5</v>
      </c>
      <c r="G367" s="1223"/>
      <c r="H367" s="1224">
        <v>5.58</v>
      </c>
      <c r="I367" s="1224"/>
      <c r="J367" s="1224">
        <v>6</v>
      </c>
      <c r="K367" s="1224"/>
      <c r="L367" s="1229">
        <v>4.08</v>
      </c>
      <c r="M367" s="1229"/>
      <c r="O367" s="8"/>
      <c r="P367" s="8"/>
      <c r="Q367" s="8"/>
      <c r="R367" s="8"/>
      <c r="S367" s="8"/>
    </row>
    <row r="368" spans="2:19" ht="39.75" customHeight="1" thickBot="1" x14ac:dyDescent="0.3">
      <c r="B368" s="1141" t="s">
        <v>465</v>
      </c>
      <c r="C368" s="1141"/>
      <c r="D368" s="1223">
        <v>5.75</v>
      </c>
      <c r="E368" s="1223"/>
      <c r="F368" s="1223">
        <v>8.25</v>
      </c>
      <c r="G368" s="1223"/>
      <c r="H368" s="1224">
        <v>6.25</v>
      </c>
      <c r="I368" s="1224"/>
      <c r="J368" s="1224">
        <v>8.75</v>
      </c>
      <c r="K368" s="1224"/>
      <c r="L368" s="1229">
        <v>6</v>
      </c>
      <c r="M368" s="1229"/>
      <c r="O368" s="8"/>
      <c r="P368" s="8"/>
      <c r="Q368" s="8"/>
      <c r="R368" s="8"/>
      <c r="S368" s="8"/>
    </row>
    <row r="369" spans="2:19" ht="25.5" customHeight="1" thickBot="1" x14ac:dyDescent="0.3">
      <c r="B369" s="1141" t="s">
        <v>1097</v>
      </c>
      <c r="C369" s="1141"/>
      <c r="D369" s="1223">
        <v>9.16</v>
      </c>
      <c r="E369" s="1223"/>
      <c r="F369" s="1223">
        <v>9.42</v>
      </c>
      <c r="G369" s="1223"/>
      <c r="H369" s="1224">
        <v>9.58</v>
      </c>
      <c r="I369" s="1224"/>
      <c r="J369" s="1224">
        <v>9.58</v>
      </c>
      <c r="K369" s="1224"/>
      <c r="L369" s="1229">
        <v>8.9499999999999993</v>
      </c>
      <c r="M369" s="1229"/>
      <c r="O369" s="8"/>
      <c r="P369" s="8"/>
      <c r="Q369" s="8"/>
      <c r="R369" s="8"/>
      <c r="S369" s="8"/>
    </row>
    <row r="370" spans="2:19" ht="36" customHeight="1" thickBot="1" x14ac:dyDescent="0.3">
      <c r="B370" s="1141" t="s">
        <v>1098</v>
      </c>
      <c r="C370" s="1141"/>
      <c r="D370" s="1223">
        <v>7.4</v>
      </c>
      <c r="E370" s="1223"/>
      <c r="F370" s="1223">
        <v>8.4</v>
      </c>
      <c r="G370" s="1223"/>
      <c r="H370" s="1224">
        <v>8</v>
      </c>
      <c r="I370" s="1224"/>
      <c r="J370" s="1224">
        <v>8.6</v>
      </c>
      <c r="K370" s="1224"/>
      <c r="L370" s="1229">
        <v>7.8</v>
      </c>
      <c r="M370" s="1229"/>
      <c r="O370" s="8"/>
      <c r="P370" s="8"/>
      <c r="Q370" s="8"/>
      <c r="R370" s="8"/>
      <c r="S370" s="8"/>
    </row>
    <row r="371" spans="2:19" ht="28.5" customHeight="1" thickBot="1" x14ac:dyDescent="0.3">
      <c r="B371" s="1141" t="s">
        <v>442</v>
      </c>
      <c r="C371" s="1141"/>
      <c r="D371" s="1260">
        <v>7.11</v>
      </c>
      <c r="E371" s="1260"/>
      <c r="F371" s="1260">
        <v>7.75</v>
      </c>
      <c r="G371" s="1260"/>
      <c r="H371" s="1260">
        <v>7.89</v>
      </c>
      <c r="I371" s="1260"/>
      <c r="J371" s="1260">
        <v>7.36</v>
      </c>
      <c r="K371" s="1260"/>
      <c r="L371" s="1229">
        <v>7.18</v>
      </c>
      <c r="M371" s="1229"/>
      <c r="O371" s="8"/>
      <c r="P371" s="8"/>
      <c r="Q371" s="8"/>
      <c r="R371" s="8"/>
      <c r="S371" s="8"/>
    </row>
    <row r="372" spans="2:19" ht="28.5" customHeight="1" thickBot="1" x14ac:dyDescent="0.3">
      <c r="B372" s="1141" t="s">
        <v>445</v>
      </c>
      <c r="C372" s="1141"/>
      <c r="D372" s="1223">
        <v>6.25</v>
      </c>
      <c r="E372" s="1223"/>
      <c r="F372" s="1223">
        <v>6</v>
      </c>
      <c r="G372" s="1223"/>
      <c r="H372" s="1224">
        <v>5.75</v>
      </c>
      <c r="I372" s="1224"/>
      <c r="J372" s="1224">
        <v>7</v>
      </c>
      <c r="K372" s="1224"/>
      <c r="L372" s="1229">
        <v>5.75</v>
      </c>
      <c r="M372" s="1229"/>
      <c r="O372" s="8"/>
      <c r="P372" s="8"/>
      <c r="Q372" s="8"/>
      <c r="R372" s="8"/>
      <c r="S372" s="8"/>
    </row>
    <row r="373" spans="2:19" ht="29.25" customHeight="1" thickBot="1" x14ac:dyDescent="0.3">
      <c r="B373" s="1141" t="s">
        <v>283</v>
      </c>
      <c r="C373" s="1141"/>
      <c r="D373" s="1223">
        <v>9.2899999999999991</v>
      </c>
      <c r="E373" s="1223"/>
      <c r="F373" s="1223">
        <v>9.2899999999999991</v>
      </c>
      <c r="G373" s="1223"/>
      <c r="H373" s="1224">
        <v>9.2899999999999991</v>
      </c>
      <c r="I373" s="1224"/>
      <c r="J373" s="1224">
        <v>9.43</v>
      </c>
      <c r="K373" s="1224"/>
      <c r="L373" s="1229">
        <v>9</v>
      </c>
      <c r="M373" s="1229"/>
      <c r="O373" s="8"/>
      <c r="P373" s="8"/>
      <c r="Q373" s="8"/>
      <c r="R373" s="8"/>
      <c r="S373" s="8"/>
    </row>
    <row r="374" spans="2:19" ht="19.5" customHeight="1" thickBot="1" x14ac:dyDescent="0.3">
      <c r="B374" s="1141" t="s">
        <v>270</v>
      </c>
      <c r="C374" s="1141"/>
      <c r="D374" s="1223">
        <v>3.57</v>
      </c>
      <c r="E374" s="1223"/>
      <c r="F374" s="1223">
        <v>3.43</v>
      </c>
      <c r="G374" s="1223"/>
      <c r="H374" s="1224">
        <v>4.57</v>
      </c>
      <c r="I374" s="1224"/>
      <c r="J374" s="1224">
        <v>4.8600000000000003</v>
      </c>
      <c r="K374" s="1224"/>
      <c r="L374" s="1229">
        <v>4.1399999999999997</v>
      </c>
      <c r="M374" s="1229"/>
      <c r="O374" s="8"/>
      <c r="P374" s="8"/>
      <c r="Q374" s="8"/>
      <c r="R374" s="8"/>
      <c r="S374" s="8"/>
    </row>
    <row r="375" spans="2:19" ht="38.25" customHeight="1" thickBot="1" x14ac:dyDescent="0.3">
      <c r="B375" s="1141" t="s">
        <v>466</v>
      </c>
      <c r="C375" s="1141"/>
      <c r="D375" s="1223">
        <v>7.17</v>
      </c>
      <c r="E375" s="1223"/>
      <c r="F375" s="1223">
        <v>7.67</v>
      </c>
      <c r="G375" s="1223"/>
      <c r="H375" s="1224">
        <v>8.5</v>
      </c>
      <c r="I375" s="1224"/>
      <c r="J375" s="1224">
        <v>8.17</v>
      </c>
      <c r="K375" s="1224"/>
      <c r="L375" s="1229">
        <v>7.83</v>
      </c>
      <c r="M375" s="1229"/>
      <c r="O375" s="8"/>
      <c r="P375" s="8"/>
      <c r="Q375" s="8"/>
      <c r="R375" s="8"/>
      <c r="S375" s="8"/>
    </row>
    <row r="376" spans="2:19" ht="19.5" customHeight="1" thickBot="1" x14ac:dyDescent="0.3">
      <c r="B376" s="1141" t="s">
        <v>457</v>
      </c>
      <c r="C376" s="1141"/>
      <c r="D376" s="1223">
        <v>8</v>
      </c>
      <c r="E376" s="1223"/>
      <c r="F376" s="1223">
        <v>8.8800000000000008</v>
      </c>
      <c r="G376" s="1223"/>
      <c r="H376" s="1224">
        <v>8.75</v>
      </c>
      <c r="I376" s="1224"/>
      <c r="J376" s="1224">
        <v>8.75</v>
      </c>
      <c r="K376" s="1224"/>
      <c r="L376" s="1229">
        <v>8.3800000000000008</v>
      </c>
      <c r="M376" s="1229"/>
      <c r="O376" s="8"/>
      <c r="P376" s="8"/>
      <c r="Q376" s="8"/>
      <c r="R376" s="8"/>
      <c r="S376" s="8"/>
    </row>
    <row r="377" spans="2:19" ht="20.25" customHeight="1" thickBot="1" x14ac:dyDescent="0.3">
      <c r="B377" s="1141" t="s">
        <v>517</v>
      </c>
      <c r="C377" s="1141"/>
      <c r="D377" s="1223">
        <v>7.4</v>
      </c>
      <c r="E377" s="1223"/>
      <c r="F377" s="1223">
        <v>8.1999999999999993</v>
      </c>
      <c r="G377" s="1223"/>
      <c r="H377" s="1224">
        <v>9.4</v>
      </c>
      <c r="I377" s="1224"/>
      <c r="J377" s="1224">
        <v>8</v>
      </c>
      <c r="K377" s="1224"/>
      <c r="L377" s="1229">
        <v>8.6</v>
      </c>
      <c r="M377" s="1229"/>
      <c r="O377" s="8"/>
      <c r="P377" s="8"/>
      <c r="Q377" s="8"/>
      <c r="R377" s="8"/>
      <c r="S377" s="8"/>
    </row>
    <row r="378" spans="2:19" ht="26.25" customHeight="1" thickBot="1" x14ac:dyDescent="0.3">
      <c r="B378" s="1141" t="s">
        <v>518</v>
      </c>
      <c r="C378" s="1141"/>
      <c r="D378" s="1223">
        <v>10</v>
      </c>
      <c r="E378" s="1223"/>
      <c r="F378" s="1223">
        <v>10</v>
      </c>
      <c r="G378" s="1223"/>
      <c r="H378" s="1223">
        <v>10</v>
      </c>
      <c r="I378" s="1223"/>
      <c r="J378" s="1223">
        <v>10</v>
      </c>
      <c r="K378" s="1223"/>
      <c r="L378" s="1229">
        <v>10</v>
      </c>
      <c r="M378" s="1229"/>
      <c r="O378" s="8"/>
      <c r="P378" s="8"/>
      <c r="Q378" s="8"/>
      <c r="R378" s="8"/>
      <c r="S378" s="8"/>
    </row>
    <row r="379" spans="2:19" ht="26.25" customHeight="1" thickBot="1" x14ac:dyDescent="0.3">
      <c r="B379" s="1141" t="s">
        <v>1096</v>
      </c>
      <c r="C379" s="1141"/>
      <c r="D379" s="1223">
        <v>9.4</v>
      </c>
      <c r="E379" s="1223"/>
      <c r="F379" s="1223">
        <v>9.1999999999999993</v>
      </c>
      <c r="G379" s="1223"/>
      <c r="H379" s="1224">
        <v>9.4</v>
      </c>
      <c r="I379" s="1224"/>
      <c r="J379" s="1224">
        <v>9.1</v>
      </c>
      <c r="K379" s="1224"/>
      <c r="L379" s="1229">
        <v>9</v>
      </c>
      <c r="M379" s="1229"/>
      <c r="O379" s="8"/>
      <c r="P379" s="8"/>
      <c r="Q379" s="8"/>
      <c r="R379" s="8"/>
      <c r="S379" s="8"/>
    </row>
    <row r="380" spans="2:19" ht="19.5" customHeight="1" thickBot="1" x14ac:dyDescent="0.3">
      <c r="B380" s="1141" t="s">
        <v>1095</v>
      </c>
      <c r="C380" s="1141"/>
      <c r="D380" s="1223">
        <v>8.75</v>
      </c>
      <c r="E380" s="1223"/>
      <c r="F380" s="1223">
        <v>8.5</v>
      </c>
      <c r="G380" s="1223"/>
      <c r="H380" s="1224">
        <v>8.5</v>
      </c>
      <c r="I380" s="1224"/>
      <c r="J380" s="1224">
        <v>8.5</v>
      </c>
      <c r="K380" s="1224"/>
      <c r="L380" s="1229">
        <v>9</v>
      </c>
      <c r="M380" s="1229"/>
      <c r="O380" s="8"/>
      <c r="P380" s="8"/>
      <c r="Q380" s="8"/>
      <c r="R380" s="8"/>
      <c r="S380" s="8"/>
    </row>
    <row r="381" spans="2:19" ht="25.5" customHeight="1" thickBot="1" x14ac:dyDescent="0.3">
      <c r="B381" s="1141" t="s">
        <v>516</v>
      </c>
      <c r="C381" s="1141"/>
      <c r="D381" s="1223">
        <v>9</v>
      </c>
      <c r="E381" s="1223"/>
      <c r="F381" s="1223">
        <v>9</v>
      </c>
      <c r="G381" s="1223"/>
      <c r="H381" s="1224">
        <v>9</v>
      </c>
      <c r="I381" s="1224"/>
      <c r="J381" s="1224">
        <v>9</v>
      </c>
      <c r="K381" s="1224"/>
      <c r="L381" s="1229">
        <v>9</v>
      </c>
      <c r="M381" s="1229"/>
      <c r="O381" s="8"/>
      <c r="P381" s="8"/>
      <c r="Q381" s="8"/>
      <c r="R381" s="8"/>
      <c r="S381" s="8"/>
    </row>
    <row r="382" spans="2:19" ht="36.75" customHeight="1" thickBot="1" x14ac:dyDescent="0.3">
      <c r="B382" s="1141" t="s">
        <v>459</v>
      </c>
      <c r="C382" s="1141"/>
      <c r="D382" s="1223">
        <v>9.1300000000000008</v>
      </c>
      <c r="E382" s="1223"/>
      <c r="F382" s="1223">
        <v>8.73</v>
      </c>
      <c r="G382" s="1223"/>
      <c r="H382" s="1224">
        <v>9.33</v>
      </c>
      <c r="I382" s="1224"/>
      <c r="J382" s="1224">
        <v>9.1999999999999993</v>
      </c>
      <c r="K382" s="1224"/>
      <c r="L382" s="1229">
        <v>8.8000000000000007</v>
      </c>
      <c r="M382" s="1229"/>
      <c r="O382" s="8"/>
      <c r="P382" s="8"/>
      <c r="Q382" s="8"/>
      <c r="R382" s="8"/>
      <c r="S382" s="8"/>
    </row>
    <row r="383" spans="2:19" ht="21" customHeight="1" thickBot="1" x14ac:dyDescent="0.3">
      <c r="B383" s="1141" t="s">
        <v>448</v>
      </c>
      <c r="C383" s="1141"/>
      <c r="D383" s="1223">
        <v>3.17</v>
      </c>
      <c r="E383" s="1223"/>
      <c r="F383" s="1223">
        <v>5.33</v>
      </c>
      <c r="G383" s="1223"/>
      <c r="H383" s="1224">
        <v>4.17</v>
      </c>
      <c r="I383" s="1224"/>
      <c r="J383" s="1224">
        <v>5.83</v>
      </c>
      <c r="K383" s="1224"/>
      <c r="L383" s="1229">
        <v>3.67</v>
      </c>
      <c r="M383" s="1229"/>
      <c r="O383" s="8"/>
      <c r="P383" s="8"/>
      <c r="Q383" s="8"/>
      <c r="R383" s="8"/>
      <c r="S383" s="8"/>
    </row>
    <row r="384" spans="2:19" ht="18.75" customHeight="1" thickBot="1" x14ac:dyDescent="0.3">
      <c r="B384" s="1141" t="s">
        <v>1094</v>
      </c>
      <c r="C384" s="1141"/>
      <c r="D384" s="1223">
        <v>1.83</v>
      </c>
      <c r="E384" s="1223"/>
      <c r="F384" s="1223">
        <v>2.33</v>
      </c>
      <c r="G384" s="1223"/>
      <c r="H384" s="1224">
        <v>2.83</v>
      </c>
      <c r="I384" s="1224"/>
      <c r="J384" s="1224">
        <v>2.5</v>
      </c>
      <c r="K384" s="1224"/>
      <c r="L384" s="1229">
        <v>1.83</v>
      </c>
      <c r="M384" s="1229"/>
      <c r="O384" s="8"/>
      <c r="P384" s="8"/>
      <c r="Q384" s="8"/>
      <c r="R384" s="8"/>
      <c r="S384" s="8"/>
    </row>
    <row r="385" spans="1:19" ht="35.25" customHeight="1" thickBot="1" x14ac:dyDescent="0.3">
      <c r="B385" s="1141" t="s">
        <v>449</v>
      </c>
      <c r="C385" s="1141"/>
      <c r="D385" s="1223">
        <v>7.43</v>
      </c>
      <c r="E385" s="1223"/>
      <c r="F385" s="1223">
        <v>8.14</v>
      </c>
      <c r="G385" s="1223"/>
      <c r="H385" s="1224">
        <v>7.43</v>
      </c>
      <c r="I385" s="1224"/>
      <c r="J385" s="1224">
        <v>7.14</v>
      </c>
      <c r="K385" s="1224"/>
      <c r="L385" s="1229">
        <v>7.57</v>
      </c>
      <c r="M385" s="1229"/>
      <c r="O385" s="8"/>
      <c r="P385" s="8"/>
      <c r="Q385" s="8"/>
      <c r="R385" s="8"/>
      <c r="S385" s="8"/>
    </row>
    <row r="386" spans="1:19" ht="18.75" customHeight="1" thickBot="1" x14ac:dyDescent="0.3">
      <c r="B386" s="1141" t="s">
        <v>284</v>
      </c>
      <c r="C386" s="1141"/>
      <c r="D386" s="1223">
        <v>8</v>
      </c>
      <c r="E386" s="1223"/>
      <c r="F386" s="1223">
        <v>8.5</v>
      </c>
      <c r="G386" s="1223"/>
      <c r="H386" s="1224">
        <v>8.5</v>
      </c>
      <c r="I386" s="1224"/>
      <c r="J386" s="1224">
        <v>8</v>
      </c>
      <c r="K386" s="1224"/>
      <c r="L386" s="1229">
        <v>8</v>
      </c>
      <c r="M386" s="1229"/>
      <c r="O386" s="8"/>
      <c r="P386" s="8"/>
      <c r="Q386" s="8"/>
      <c r="R386" s="8"/>
      <c r="S386" s="8"/>
    </row>
    <row r="387" spans="1:19" ht="20.25" customHeight="1" thickBot="1" x14ac:dyDescent="0.3">
      <c r="B387" s="1141" t="s">
        <v>450</v>
      </c>
      <c r="C387" s="1141"/>
      <c r="D387" s="1223">
        <v>7.13</v>
      </c>
      <c r="E387" s="1223"/>
      <c r="F387" s="1223">
        <v>7.87</v>
      </c>
      <c r="G387" s="1223"/>
      <c r="H387" s="1224">
        <v>7.96</v>
      </c>
      <c r="I387" s="1224"/>
      <c r="J387" s="1224">
        <v>7.78</v>
      </c>
      <c r="K387" s="1224"/>
      <c r="L387" s="1229">
        <v>7.7</v>
      </c>
      <c r="M387" s="1229"/>
      <c r="O387" s="8"/>
      <c r="P387" s="8"/>
      <c r="Q387" s="8"/>
      <c r="R387" s="8"/>
      <c r="S387" s="8"/>
    </row>
    <row r="388" spans="1:19" ht="27" customHeight="1" thickBot="1" x14ac:dyDescent="0.3">
      <c r="B388" s="1141" t="s">
        <v>453</v>
      </c>
      <c r="C388" s="1141"/>
      <c r="D388" s="1223">
        <v>9</v>
      </c>
      <c r="E388" s="1223"/>
      <c r="F388" s="1223">
        <v>9.5</v>
      </c>
      <c r="G388" s="1223"/>
      <c r="H388" s="1224">
        <v>10</v>
      </c>
      <c r="I388" s="1224"/>
      <c r="J388" s="1224">
        <v>9</v>
      </c>
      <c r="K388" s="1224"/>
      <c r="L388" s="1229">
        <v>10</v>
      </c>
      <c r="M388" s="1229"/>
      <c r="O388" s="8"/>
      <c r="P388" s="8"/>
      <c r="Q388" s="8"/>
      <c r="R388" s="8"/>
      <c r="S388" s="8"/>
    </row>
    <row r="389" spans="1:19" ht="37.5" customHeight="1" thickBot="1" x14ac:dyDescent="0.3">
      <c r="B389" s="1141" t="s">
        <v>460</v>
      </c>
      <c r="C389" s="1141"/>
      <c r="D389" s="1223">
        <v>5.75</v>
      </c>
      <c r="E389" s="1223"/>
      <c r="F389" s="1223">
        <v>5.75</v>
      </c>
      <c r="G389" s="1223"/>
      <c r="H389" s="1224">
        <v>5.88</v>
      </c>
      <c r="I389" s="1224"/>
      <c r="J389" s="1224">
        <v>6.38</v>
      </c>
      <c r="K389" s="1224"/>
      <c r="L389" s="1229">
        <v>6.13</v>
      </c>
      <c r="M389" s="1229"/>
      <c r="O389" s="8"/>
      <c r="P389" s="8"/>
      <c r="Q389" s="8"/>
      <c r="R389" s="8"/>
      <c r="S389" s="8"/>
    </row>
    <row r="390" spans="1:19" ht="26.25" customHeight="1" thickBot="1" x14ac:dyDescent="0.3">
      <c r="B390" s="1141" t="s">
        <v>282</v>
      </c>
      <c r="C390" s="1141"/>
      <c r="D390" s="1223">
        <v>8</v>
      </c>
      <c r="E390" s="1223"/>
      <c r="F390" s="1223">
        <v>9</v>
      </c>
      <c r="G390" s="1223"/>
      <c r="H390" s="1224">
        <v>9.75</v>
      </c>
      <c r="I390" s="1224"/>
      <c r="J390" s="1224">
        <v>6.25</v>
      </c>
      <c r="K390" s="1224"/>
      <c r="L390" s="1229">
        <v>8.5</v>
      </c>
      <c r="M390" s="1229"/>
      <c r="O390" s="8"/>
      <c r="P390" s="8"/>
      <c r="Q390" s="8"/>
      <c r="R390" s="8"/>
      <c r="S390" s="8"/>
    </row>
    <row r="391" spans="1:19" ht="32.25" customHeight="1" thickBot="1" x14ac:dyDescent="0.3">
      <c r="B391" s="1143" t="s">
        <v>1393</v>
      </c>
      <c r="C391" s="1143"/>
      <c r="D391" s="1223">
        <v>8.67</v>
      </c>
      <c r="E391" s="1223"/>
      <c r="F391" s="1223">
        <v>8.33</v>
      </c>
      <c r="G391" s="1223"/>
      <c r="H391" s="1223">
        <v>8.67</v>
      </c>
      <c r="I391" s="1223"/>
      <c r="J391" s="1223">
        <v>9</v>
      </c>
      <c r="K391" s="1223"/>
      <c r="L391" s="1249">
        <v>8.33</v>
      </c>
      <c r="M391" s="1249"/>
      <c r="O391" s="8"/>
      <c r="P391" s="8"/>
      <c r="Q391" s="8"/>
      <c r="R391" s="8"/>
      <c r="S391" s="8"/>
    </row>
    <row r="392" spans="1:19" ht="37.5" customHeight="1" thickBot="1" x14ac:dyDescent="0.3">
      <c r="B392" s="1141" t="s">
        <v>1200</v>
      </c>
      <c r="C392" s="1141"/>
      <c r="D392" s="1223" t="s">
        <v>51</v>
      </c>
      <c r="E392" s="1223"/>
      <c r="F392" s="1223" t="s">
        <v>51</v>
      </c>
      <c r="G392" s="1223"/>
      <c r="H392" s="1224" t="s">
        <v>51</v>
      </c>
      <c r="I392" s="1224"/>
      <c r="J392" s="1224" t="s">
        <v>51</v>
      </c>
      <c r="K392" s="1224"/>
      <c r="L392" s="1229" t="s">
        <v>51</v>
      </c>
      <c r="M392" s="1229"/>
      <c r="O392" s="8"/>
      <c r="P392" s="8"/>
      <c r="Q392" s="8"/>
      <c r="R392" s="8"/>
      <c r="S392" s="8"/>
    </row>
    <row r="393" spans="1:19" ht="48" customHeight="1" thickBot="1" x14ac:dyDescent="0.3">
      <c r="B393" s="1145" t="s">
        <v>1116</v>
      </c>
      <c r="C393" s="1145"/>
      <c r="D393" s="1223">
        <v>10</v>
      </c>
      <c r="E393" s="1223"/>
      <c r="F393" s="1223">
        <v>7</v>
      </c>
      <c r="G393" s="1223"/>
      <c r="H393" s="1224">
        <v>10</v>
      </c>
      <c r="I393" s="1224"/>
      <c r="J393" s="1224">
        <v>10</v>
      </c>
      <c r="K393" s="1224"/>
      <c r="L393" s="1229">
        <v>5</v>
      </c>
      <c r="M393" s="1229"/>
      <c r="O393" s="8"/>
      <c r="P393" s="8"/>
      <c r="Q393" s="8"/>
      <c r="R393" s="8"/>
      <c r="S393" s="8"/>
    </row>
    <row r="394" spans="1:19" ht="44.25" customHeight="1" thickBot="1" x14ac:dyDescent="0.3">
      <c r="B394" s="1141" t="s">
        <v>1201</v>
      </c>
      <c r="C394" s="1141"/>
      <c r="D394" s="1223">
        <v>10</v>
      </c>
      <c r="E394" s="1223"/>
      <c r="F394" s="1223">
        <v>10</v>
      </c>
      <c r="G394" s="1223"/>
      <c r="H394" s="1223">
        <v>10</v>
      </c>
      <c r="I394" s="1223"/>
      <c r="J394" s="1223">
        <v>10</v>
      </c>
      <c r="K394" s="1223"/>
      <c r="L394" s="1223">
        <v>10</v>
      </c>
      <c r="M394" s="1223"/>
      <c r="O394" s="8"/>
      <c r="P394" s="8"/>
      <c r="Q394" s="8"/>
      <c r="R394" s="8"/>
      <c r="S394" s="8"/>
    </row>
    <row r="395" spans="1:19" ht="44.25" customHeight="1" thickBot="1" x14ac:dyDescent="0.3">
      <c r="A395" s="48"/>
      <c r="B395" s="1143" t="s">
        <v>1202</v>
      </c>
      <c r="C395" s="1143"/>
      <c r="D395" s="1223">
        <v>9.5</v>
      </c>
      <c r="E395" s="1223"/>
      <c r="F395" s="1223">
        <v>9.5</v>
      </c>
      <c r="G395" s="1223"/>
      <c r="H395" s="1223">
        <v>9.25</v>
      </c>
      <c r="I395" s="1223"/>
      <c r="J395" s="1223">
        <v>9.5</v>
      </c>
      <c r="K395" s="1223"/>
      <c r="L395" s="1249">
        <v>9</v>
      </c>
      <c r="M395" s="1249"/>
      <c r="O395" s="8"/>
      <c r="P395" s="8"/>
      <c r="Q395" s="8"/>
      <c r="R395" s="8"/>
      <c r="S395" s="8"/>
    </row>
    <row r="396" spans="1:19" ht="27.75" customHeight="1" thickBot="1" x14ac:dyDescent="0.3">
      <c r="B396" s="1141" t="s">
        <v>464</v>
      </c>
      <c r="C396" s="1141"/>
      <c r="D396" s="1223">
        <v>7.25</v>
      </c>
      <c r="E396" s="1223"/>
      <c r="F396" s="1223">
        <v>8.3800000000000008</v>
      </c>
      <c r="G396" s="1223"/>
      <c r="H396" s="1224">
        <v>8.1300000000000008</v>
      </c>
      <c r="I396" s="1224"/>
      <c r="J396" s="1224">
        <v>8.1300000000000008</v>
      </c>
      <c r="K396" s="1224"/>
      <c r="L396" s="1229">
        <v>7.88</v>
      </c>
      <c r="M396" s="1229"/>
      <c r="O396" s="8"/>
      <c r="P396" s="8"/>
      <c r="Q396" s="8"/>
      <c r="R396" s="8"/>
      <c r="S396" s="8"/>
    </row>
    <row r="397" spans="1:19" ht="27.75" customHeight="1" thickBot="1" x14ac:dyDescent="0.3">
      <c r="B397" s="1141" t="s">
        <v>463</v>
      </c>
      <c r="C397" s="1141"/>
      <c r="D397" s="1223">
        <v>7.5</v>
      </c>
      <c r="E397" s="1223"/>
      <c r="F397" s="1223">
        <v>6.5</v>
      </c>
      <c r="G397" s="1223"/>
      <c r="H397" s="1224">
        <v>6.5</v>
      </c>
      <c r="I397" s="1224"/>
      <c r="J397" s="1224">
        <v>6.5</v>
      </c>
      <c r="K397" s="1224"/>
      <c r="L397" s="1229">
        <v>6.5</v>
      </c>
      <c r="M397" s="1229"/>
      <c r="O397" s="8"/>
      <c r="P397" s="8"/>
      <c r="Q397" s="8"/>
      <c r="R397" s="8"/>
      <c r="S397" s="8"/>
    </row>
    <row r="398" spans="1:19" ht="18.75" customHeight="1" thickBot="1" x14ac:dyDescent="0.3">
      <c r="B398" s="1141" t="s">
        <v>280</v>
      </c>
      <c r="C398" s="1141"/>
      <c r="D398" s="1223">
        <v>8.8000000000000007</v>
      </c>
      <c r="E398" s="1223"/>
      <c r="F398" s="1223">
        <v>9.6</v>
      </c>
      <c r="G398" s="1223"/>
      <c r="H398" s="1224">
        <v>8.6</v>
      </c>
      <c r="I398" s="1224"/>
      <c r="J398" s="1224">
        <v>9</v>
      </c>
      <c r="K398" s="1224"/>
      <c r="L398" s="1229">
        <v>9.6</v>
      </c>
      <c r="M398" s="1229"/>
      <c r="O398" s="8"/>
      <c r="P398" s="8"/>
      <c r="Q398" s="8"/>
      <c r="R398" s="8"/>
      <c r="S398" s="8"/>
    </row>
    <row r="399" spans="1:19" ht="28.5" customHeight="1" thickBot="1" x14ac:dyDescent="0.3">
      <c r="B399" s="1141" t="s">
        <v>454</v>
      </c>
      <c r="C399" s="1141"/>
      <c r="D399" s="1223">
        <v>9</v>
      </c>
      <c r="E399" s="1223"/>
      <c r="F399" s="1223">
        <v>8.75</v>
      </c>
      <c r="G399" s="1223"/>
      <c r="H399" s="1224">
        <v>9.5</v>
      </c>
      <c r="I399" s="1224"/>
      <c r="J399" s="1224">
        <v>9.5</v>
      </c>
      <c r="K399" s="1224"/>
      <c r="L399" s="1229">
        <v>9.25</v>
      </c>
      <c r="M399" s="1229"/>
      <c r="O399" s="8"/>
      <c r="P399" s="8"/>
      <c r="Q399" s="8"/>
      <c r="R399" s="8"/>
      <c r="S399" s="8"/>
    </row>
    <row r="400" spans="1:19" ht="36" customHeight="1" thickBot="1" x14ac:dyDescent="0.3">
      <c r="B400" s="1141" t="s">
        <v>455</v>
      </c>
      <c r="C400" s="1141"/>
      <c r="D400" s="1223">
        <v>5.67</v>
      </c>
      <c r="E400" s="1223"/>
      <c r="F400" s="1223">
        <v>6.67</v>
      </c>
      <c r="G400" s="1223"/>
      <c r="H400" s="1224">
        <v>6</v>
      </c>
      <c r="I400" s="1224"/>
      <c r="J400" s="1224">
        <v>6.33</v>
      </c>
      <c r="K400" s="1224"/>
      <c r="L400" s="1229">
        <v>6</v>
      </c>
      <c r="M400" s="1229"/>
      <c r="O400" s="8"/>
      <c r="P400" s="8"/>
      <c r="Q400" s="8"/>
      <c r="R400" s="8"/>
      <c r="S400" s="8"/>
    </row>
    <row r="401" spans="2:34" ht="25.5" customHeight="1" thickBot="1" x14ac:dyDescent="0.3">
      <c r="B401" s="1141" t="s">
        <v>451</v>
      </c>
      <c r="C401" s="1141"/>
      <c r="D401" s="1223">
        <v>7.82</v>
      </c>
      <c r="E401" s="1223"/>
      <c r="F401" s="1223">
        <v>8.18</v>
      </c>
      <c r="G401" s="1223"/>
      <c r="H401" s="1224">
        <v>9</v>
      </c>
      <c r="I401" s="1224"/>
      <c r="J401" s="1224">
        <v>8.27</v>
      </c>
      <c r="K401" s="1224"/>
      <c r="L401" s="1229">
        <v>8.64</v>
      </c>
      <c r="M401" s="1229"/>
      <c r="O401" s="8"/>
      <c r="P401" s="8"/>
      <c r="Q401" s="8"/>
      <c r="R401" s="8"/>
      <c r="S401" s="8"/>
    </row>
    <row r="402" spans="2:34" ht="18.75" customHeight="1" thickBot="1" x14ac:dyDescent="0.3">
      <c r="B402" s="1141" t="s">
        <v>285</v>
      </c>
      <c r="C402" s="1141"/>
      <c r="D402" s="1223">
        <v>7</v>
      </c>
      <c r="E402" s="1223"/>
      <c r="F402" s="1223">
        <v>8.5</v>
      </c>
      <c r="G402" s="1223"/>
      <c r="H402" s="1224">
        <v>9.25</v>
      </c>
      <c r="I402" s="1224"/>
      <c r="J402" s="1224">
        <v>9.25</v>
      </c>
      <c r="K402" s="1224"/>
      <c r="L402" s="1229">
        <v>7.5</v>
      </c>
      <c r="M402" s="1229"/>
      <c r="O402" s="8"/>
      <c r="P402" s="8"/>
      <c r="Q402" s="8"/>
      <c r="R402" s="8"/>
      <c r="S402" s="8"/>
    </row>
    <row r="403" spans="2:34" ht="18.75" customHeight="1" thickBot="1" x14ac:dyDescent="0.3">
      <c r="B403" s="1141" t="s">
        <v>458</v>
      </c>
      <c r="C403" s="1141"/>
      <c r="D403" s="1223">
        <v>6.67</v>
      </c>
      <c r="E403" s="1223"/>
      <c r="F403" s="1223">
        <v>8.33</v>
      </c>
      <c r="G403" s="1223"/>
      <c r="H403" s="1224">
        <v>8.67</v>
      </c>
      <c r="I403" s="1224"/>
      <c r="J403" s="1224">
        <v>4.67</v>
      </c>
      <c r="K403" s="1224"/>
      <c r="L403" s="1229">
        <v>7.67</v>
      </c>
      <c r="M403" s="1229"/>
      <c r="O403" s="8"/>
      <c r="P403" s="8"/>
      <c r="Q403" s="8"/>
      <c r="R403" s="8"/>
      <c r="S403" s="8"/>
    </row>
    <row r="404" spans="2:34" ht="18.75" customHeight="1" thickBot="1" x14ac:dyDescent="0.3">
      <c r="B404" s="1141" t="s">
        <v>462</v>
      </c>
      <c r="C404" s="1141"/>
      <c r="D404" s="1223">
        <v>9</v>
      </c>
      <c r="E404" s="1223"/>
      <c r="F404" s="1223">
        <v>9.33</v>
      </c>
      <c r="G404" s="1223"/>
      <c r="H404" s="1224">
        <v>9.33</v>
      </c>
      <c r="I404" s="1224"/>
      <c r="J404" s="1224">
        <v>8.67</v>
      </c>
      <c r="K404" s="1224"/>
      <c r="L404" s="1229">
        <v>9</v>
      </c>
      <c r="M404" s="1229"/>
      <c r="O404" s="8"/>
      <c r="P404" s="8"/>
      <c r="Q404" s="8"/>
      <c r="R404" s="8"/>
      <c r="S404" s="8"/>
    </row>
    <row r="405" spans="2:34" ht="18.75" customHeight="1" thickBot="1" x14ac:dyDescent="0.3">
      <c r="B405" s="1141" t="s">
        <v>752</v>
      </c>
      <c r="C405" s="1141"/>
      <c r="D405" s="1223">
        <v>7.75</v>
      </c>
      <c r="E405" s="1223"/>
      <c r="F405" s="1223">
        <v>9.5</v>
      </c>
      <c r="G405" s="1223"/>
      <c r="H405" s="1224">
        <v>10</v>
      </c>
      <c r="I405" s="1224"/>
      <c r="J405" s="1224">
        <v>9.5</v>
      </c>
      <c r="K405" s="1224"/>
      <c r="L405" s="1229">
        <v>8</v>
      </c>
      <c r="M405" s="1229"/>
      <c r="O405" s="8"/>
      <c r="P405" s="8"/>
      <c r="Q405" s="8"/>
      <c r="R405" s="8"/>
      <c r="S405" s="8"/>
    </row>
    <row r="406" spans="2:34" ht="21" customHeight="1" thickBot="1" x14ac:dyDescent="0.3">
      <c r="B406" s="1269" t="s">
        <v>519</v>
      </c>
      <c r="C406" s="1269"/>
      <c r="D406" s="1226">
        <f>AVERAGE(D371:E405)</f>
        <v>7.6473529411764707</v>
      </c>
      <c r="E406" s="1226"/>
      <c r="F406" s="1226">
        <f>AVERAGE(F371:G405)</f>
        <v>7.9894117647058822</v>
      </c>
      <c r="G406" s="1226"/>
      <c r="H406" s="1226">
        <f>AVERAGE(H371:I405)</f>
        <v>8.2294117647058815</v>
      </c>
      <c r="I406" s="1226"/>
      <c r="J406" s="1226">
        <f>AVERAGE(J371:K405)</f>
        <v>7.9579411764705883</v>
      </c>
      <c r="K406" s="1226"/>
      <c r="L406" s="1226">
        <f>AVERAGE(L371:M405)</f>
        <v>7.7191176470588214</v>
      </c>
      <c r="M406" s="1226"/>
      <c r="O406" s="8"/>
      <c r="P406" s="8"/>
      <c r="Q406" s="8"/>
      <c r="R406" s="8"/>
      <c r="S406" s="8"/>
    </row>
    <row r="407" spans="2:34" x14ac:dyDescent="0.25">
      <c r="Q407" s="8"/>
    </row>
    <row r="408" spans="2:34" ht="15" customHeight="1" x14ac:dyDescent="0.25">
      <c r="B408" s="1228" t="s">
        <v>8</v>
      </c>
      <c r="C408" s="1228"/>
      <c r="D408" s="1228"/>
      <c r="E408" s="1228"/>
      <c r="F408" s="1228"/>
      <c r="G408" s="1228"/>
      <c r="H408" s="1228"/>
      <c r="I408" s="1228"/>
      <c r="J408" s="1228"/>
      <c r="K408" s="1228"/>
      <c r="L408" s="1228"/>
      <c r="M408" s="1228"/>
    </row>
    <row r="409" spans="2:34" ht="15" customHeight="1" x14ac:dyDescent="0.25">
      <c r="B409" s="1153" t="s">
        <v>249</v>
      </c>
      <c r="C409" s="1153"/>
      <c r="D409" s="1158" t="s">
        <v>1099</v>
      </c>
      <c r="E409" s="1158"/>
      <c r="F409" s="1158" t="s">
        <v>514</v>
      </c>
      <c r="G409" s="1158"/>
      <c r="H409" s="1158" t="s">
        <v>1114</v>
      </c>
      <c r="I409" s="1158"/>
      <c r="J409" s="1158" t="s">
        <v>520</v>
      </c>
      <c r="K409" s="1158"/>
      <c r="L409" s="1158" t="s">
        <v>581</v>
      </c>
      <c r="M409" s="1158"/>
    </row>
    <row r="410" spans="2:34" ht="47.25" customHeight="1" thickBot="1" x14ac:dyDescent="0.3">
      <c r="B410" s="1158"/>
      <c r="C410" s="1158"/>
      <c r="D410" s="1248" t="s">
        <v>1092</v>
      </c>
      <c r="E410" s="1248"/>
      <c r="F410" s="1248" t="s">
        <v>1093</v>
      </c>
      <c r="G410" s="1248"/>
      <c r="H410" s="1248" t="s">
        <v>1115</v>
      </c>
      <c r="I410" s="1248"/>
      <c r="J410" s="1248" t="s">
        <v>1203</v>
      </c>
      <c r="K410" s="1248"/>
      <c r="L410" s="1248" t="s">
        <v>1091</v>
      </c>
      <c r="M410" s="1248"/>
    </row>
    <row r="411" spans="2:34" s="2" customFormat="1" ht="23.25" customHeight="1" thickBot="1" x14ac:dyDescent="0.3">
      <c r="B411" s="1143" t="s">
        <v>1206</v>
      </c>
      <c r="C411" s="1143"/>
      <c r="D411" s="1223">
        <v>8.43</v>
      </c>
      <c r="E411" s="1223"/>
      <c r="F411" s="1223">
        <v>8.5500000000000007</v>
      </c>
      <c r="G411" s="1223"/>
      <c r="H411" s="1222">
        <v>9.23</v>
      </c>
      <c r="I411" s="1222"/>
      <c r="J411" s="1222">
        <v>7.75</v>
      </c>
      <c r="K411" s="1222"/>
      <c r="L411" s="1249">
        <v>8.43</v>
      </c>
      <c r="M411" s="1249"/>
      <c r="O411" s="8"/>
      <c r="P411" s="8"/>
      <c r="Q411" s="8"/>
      <c r="R411" s="8"/>
      <c r="S411" s="8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</row>
    <row r="412" spans="2:34" ht="18.75" customHeight="1" thickBot="1" x14ac:dyDescent="0.3">
      <c r="B412" s="1141" t="s">
        <v>309</v>
      </c>
      <c r="C412" s="1141"/>
      <c r="D412" s="1260">
        <v>5</v>
      </c>
      <c r="E412" s="1260"/>
      <c r="F412" s="1260">
        <v>6.25</v>
      </c>
      <c r="G412" s="1260"/>
      <c r="H412" s="1257">
        <v>6.17</v>
      </c>
      <c r="I412" s="1257"/>
      <c r="J412" s="1257">
        <v>6.33</v>
      </c>
      <c r="K412" s="1257"/>
      <c r="L412" s="1229">
        <v>5.75</v>
      </c>
      <c r="M412" s="1229"/>
      <c r="O412" s="8"/>
      <c r="P412" s="8"/>
      <c r="Q412" s="8"/>
      <c r="R412" s="8"/>
      <c r="S412" s="8"/>
    </row>
    <row r="413" spans="2:34" ht="18.75" customHeight="1" thickBot="1" x14ac:dyDescent="0.3">
      <c r="B413" s="1141" t="s">
        <v>314</v>
      </c>
      <c r="C413" s="1141"/>
      <c r="D413" s="1223" t="s">
        <v>51</v>
      </c>
      <c r="E413" s="1223"/>
      <c r="F413" s="1223" t="s">
        <v>51</v>
      </c>
      <c r="G413" s="1223"/>
      <c r="H413" s="1222" t="s">
        <v>51</v>
      </c>
      <c r="I413" s="1222"/>
      <c r="J413" s="1222" t="s">
        <v>51</v>
      </c>
      <c r="K413" s="1222"/>
      <c r="L413" s="1249" t="s">
        <v>51</v>
      </c>
      <c r="M413" s="1249"/>
      <c r="O413" s="8"/>
      <c r="P413" s="8"/>
      <c r="Q413" s="8"/>
      <c r="R413" s="8"/>
      <c r="S413" s="8"/>
    </row>
    <row r="414" spans="2:34" ht="26.25" customHeight="1" thickBot="1" x14ac:dyDescent="0.3">
      <c r="B414" s="1141" t="s">
        <v>584</v>
      </c>
      <c r="C414" s="1141"/>
      <c r="D414" s="1223" t="s">
        <v>51</v>
      </c>
      <c r="E414" s="1223"/>
      <c r="F414" s="1223" t="s">
        <v>51</v>
      </c>
      <c r="G414" s="1223"/>
      <c r="H414" s="1222" t="s">
        <v>51</v>
      </c>
      <c r="I414" s="1222"/>
      <c r="J414" s="1222" t="s">
        <v>51</v>
      </c>
      <c r="K414" s="1222"/>
      <c r="L414" s="1249" t="s">
        <v>51</v>
      </c>
      <c r="M414" s="1249"/>
      <c r="O414" s="8"/>
      <c r="P414" s="8"/>
      <c r="Q414" s="8"/>
      <c r="R414" s="8"/>
      <c r="S414" s="8"/>
    </row>
    <row r="415" spans="2:34" ht="24.75" customHeight="1" thickBot="1" x14ac:dyDescent="0.3">
      <c r="B415" s="1141" t="s">
        <v>585</v>
      </c>
      <c r="C415" s="1141"/>
      <c r="D415" s="1223" t="s">
        <v>51</v>
      </c>
      <c r="E415" s="1223"/>
      <c r="F415" s="1223" t="s">
        <v>51</v>
      </c>
      <c r="G415" s="1223"/>
      <c r="H415" s="1222" t="s">
        <v>51</v>
      </c>
      <c r="I415" s="1222"/>
      <c r="J415" s="1222" t="s">
        <v>51</v>
      </c>
      <c r="K415" s="1222"/>
      <c r="L415" s="1249" t="s">
        <v>51</v>
      </c>
      <c r="M415" s="1249"/>
      <c r="O415" s="8"/>
      <c r="P415" s="8"/>
      <c r="Q415" s="8"/>
      <c r="R415" s="8"/>
      <c r="S415" s="8"/>
    </row>
    <row r="416" spans="2:34" ht="18.75" customHeight="1" thickBot="1" x14ac:dyDescent="0.3">
      <c r="B416" s="1141" t="s">
        <v>334</v>
      </c>
      <c r="C416" s="1141"/>
      <c r="D416" s="1223">
        <v>5.73</v>
      </c>
      <c r="E416" s="1223"/>
      <c r="F416" s="1223">
        <v>5.86</v>
      </c>
      <c r="G416" s="1223"/>
      <c r="H416" s="1222">
        <v>6</v>
      </c>
      <c r="I416" s="1222"/>
      <c r="J416" s="1222">
        <v>5.45</v>
      </c>
      <c r="K416" s="1222"/>
      <c r="L416" s="1249">
        <v>6.09</v>
      </c>
      <c r="M416" s="1249"/>
      <c r="O416" s="8"/>
      <c r="P416" s="8"/>
      <c r="Q416" s="8"/>
      <c r="R416" s="8"/>
      <c r="S416" s="8"/>
    </row>
    <row r="417" spans="2:19" ht="18.75" customHeight="1" thickBot="1" x14ac:dyDescent="0.3">
      <c r="B417" s="1141" t="s">
        <v>591</v>
      </c>
      <c r="C417" s="1141"/>
      <c r="D417" s="1223">
        <v>8.25</v>
      </c>
      <c r="E417" s="1223"/>
      <c r="F417" s="1223">
        <v>8.25</v>
      </c>
      <c r="G417" s="1223"/>
      <c r="H417" s="1222">
        <v>9</v>
      </c>
      <c r="I417" s="1222"/>
      <c r="J417" s="1222">
        <v>8.5</v>
      </c>
      <c r="K417" s="1222"/>
      <c r="L417" s="1249">
        <v>8.5</v>
      </c>
      <c r="M417" s="1249"/>
      <c r="O417" s="8"/>
      <c r="P417" s="8"/>
      <c r="Q417" s="8"/>
      <c r="R417" s="8"/>
      <c r="S417" s="8"/>
    </row>
    <row r="418" spans="2:19" ht="18.75" customHeight="1" thickBot="1" x14ac:dyDescent="0.3">
      <c r="B418" s="1141" t="s">
        <v>337</v>
      </c>
      <c r="C418" s="1141"/>
      <c r="D418" s="1223">
        <v>8.74</v>
      </c>
      <c r="E418" s="1223"/>
      <c r="F418" s="1223">
        <v>8.42</v>
      </c>
      <c r="G418" s="1223"/>
      <c r="H418" s="1222">
        <v>8.32</v>
      </c>
      <c r="I418" s="1222"/>
      <c r="J418" s="1222">
        <v>8.4700000000000006</v>
      </c>
      <c r="K418" s="1222"/>
      <c r="L418" s="1249">
        <v>8.89</v>
      </c>
      <c r="M418" s="1249"/>
      <c r="O418" s="8"/>
      <c r="P418" s="8"/>
      <c r="Q418" s="8"/>
      <c r="R418" s="8"/>
      <c r="S418" s="8"/>
    </row>
    <row r="419" spans="2:19" ht="18.75" customHeight="1" thickBot="1" x14ac:dyDescent="0.3">
      <c r="B419" s="1141" t="s">
        <v>372</v>
      </c>
      <c r="C419" s="1141"/>
      <c r="D419" s="1223">
        <v>9.4</v>
      </c>
      <c r="E419" s="1223"/>
      <c r="F419" s="1223">
        <v>8.8699999999999992</v>
      </c>
      <c r="G419" s="1223"/>
      <c r="H419" s="1222">
        <v>9.33</v>
      </c>
      <c r="I419" s="1222"/>
      <c r="J419" s="1222">
        <v>8.5299999999999994</v>
      </c>
      <c r="K419" s="1222"/>
      <c r="L419" s="1249">
        <v>9.1300000000000008</v>
      </c>
      <c r="M419" s="1249"/>
      <c r="O419" s="8"/>
      <c r="P419" s="8"/>
      <c r="Q419" s="8"/>
      <c r="R419" s="8"/>
      <c r="S419" s="8"/>
    </row>
    <row r="420" spans="2:19" ht="18.75" customHeight="1" thickBot="1" x14ac:dyDescent="0.3">
      <c r="B420" s="1141" t="s">
        <v>350</v>
      </c>
      <c r="C420" s="1141"/>
      <c r="D420" s="1223">
        <v>9.5</v>
      </c>
      <c r="E420" s="1223"/>
      <c r="F420" s="1223">
        <v>9.5</v>
      </c>
      <c r="G420" s="1223"/>
      <c r="H420" s="1222">
        <v>10</v>
      </c>
      <c r="I420" s="1222"/>
      <c r="J420" s="1222">
        <v>9.5</v>
      </c>
      <c r="K420" s="1222"/>
      <c r="L420" s="1249">
        <v>9.5</v>
      </c>
      <c r="M420" s="1249"/>
      <c r="O420" s="8"/>
      <c r="P420" s="8"/>
      <c r="Q420" s="8"/>
      <c r="R420" s="8"/>
      <c r="S420" s="8"/>
    </row>
    <row r="421" spans="2:19" ht="26.25" customHeight="1" thickBot="1" x14ac:dyDescent="0.3">
      <c r="B421" s="1145" t="s">
        <v>582</v>
      </c>
      <c r="C421" s="1145"/>
      <c r="D421" s="1223">
        <v>7.48</v>
      </c>
      <c r="E421" s="1223"/>
      <c r="F421" s="1223">
        <v>8.19</v>
      </c>
      <c r="G421" s="1223"/>
      <c r="H421" s="1222">
        <v>8.0500000000000007</v>
      </c>
      <c r="I421" s="1222"/>
      <c r="J421" s="1222">
        <v>7.86</v>
      </c>
      <c r="K421" s="1222"/>
      <c r="L421" s="1249">
        <v>7.62</v>
      </c>
      <c r="M421" s="1249"/>
      <c r="O421" s="8"/>
      <c r="P421" s="8"/>
      <c r="Q421" s="8"/>
      <c r="R421" s="8"/>
      <c r="S421" s="8"/>
    </row>
    <row r="422" spans="2:19" ht="18.75" customHeight="1" thickBot="1" x14ac:dyDescent="0.3">
      <c r="B422" s="1141" t="s">
        <v>315</v>
      </c>
      <c r="C422" s="1141"/>
      <c r="D422" s="1223">
        <v>4.5</v>
      </c>
      <c r="E422" s="1223"/>
      <c r="F422" s="1223">
        <v>6.5</v>
      </c>
      <c r="G422" s="1223"/>
      <c r="H422" s="1222">
        <v>7</v>
      </c>
      <c r="I422" s="1222"/>
      <c r="J422" s="1222">
        <v>8.5</v>
      </c>
      <c r="K422" s="1222"/>
      <c r="L422" s="1249">
        <v>5.5</v>
      </c>
      <c r="M422" s="1249"/>
      <c r="O422" s="8"/>
      <c r="P422" s="8"/>
      <c r="Q422" s="8"/>
      <c r="R422" s="8"/>
      <c r="S422" s="8"/>
    </row>
    <row r="423" spans="2:19" ht="18.75" customHeight="1" thickBot="1" x14ac:dyDescent="0.3">
      <c r="B423" s="1141" t="s">
        <v>328</v>
      </c>
      <c r="C423" s="1141"/>
      <c r="D423" s="1223">
        <v>8.5</v>
      </c>
      <c r="E423" s="1223"/>
      <c r="F423" s="1223">
        <v>8.61</v>
      </c>
      <c r="G423" s="1223"/>
      <c r="H423" s="1222">
        <v>8.94</v>
      </c>
      <c r="I423" s="1222"/>
      <c r="J423" s="1222">
        <v>8.89</v>
      </c>
      <c r="K423" s="1222"/>
      <c r="L423" s="1249">
        <v>8.67</v>
      </c>
      <c r="M423" s="1249"/>
      <c r="O423" s="8"/>
      <c r="P423" s="8"/>
      <c r="Q423" s="8"/>
      <c r="R423" s="8"/>
      <c r="S423" s="8"/>
    </row>
    <row r="424" spans="2:19" ht="23.25" customHeight="1" thickBot="1" x14ac:dyDescent="0.3">
      <c r="B424" s="1230" t="s">
        <v>344</v>
      </c>
      <c r="C424" s="1230"/>
      <c r="D424" s="1224">
        <v>7.88</v>
      </c>
      <c r="E424" s="1224"/>
      <c r="F424" s="1224">
        <v>7.96</v>
      </c>
      <c r="G424" s="1224"/>
      <c r="H424" s="1224">
        <v>8.83</v>
      </c>
      <c r="I424" s="1224"/>
      <c r="J424" s="1224">
        <v>7.29</v>
      </c>
      <c r="K424" s="1224"/>
      <c r="L424" s="1256">
        <v>7.71</v>
      </c>
      <c r="M424" s="1256"/>
      <c r="O424" s="8"/>
      <c r="P424" s="8"/>
      <c r="Q424" s="8"/>
      <c r="R424" s="8"/>
      <c r="S424" s="8"/>
    </row>
    <row r="425" spans="2:19" ht="18.75" customHeight="1" thickBot="1" x14ac:dyDescent="0.3">
      <c r="B425" s="1141" t="s">
        <v>1102</v>
      </c>
      <c r="C425" s="1141"/>
      <c r="D425" s="1223">
        <v>8.32</v>
      </c>
      <c r="E425" s="1223"/>
      <c r="F425" s="1223">
        <v>8.74</v>
      </c>
      <c r="G425" s="1223"/>
      <c r="H425" s="1222">
        <v>9.2100000000000009</v>
      </c>
      <c r="I425" s="1222"/>
      <c r="J425" s="1222">
        <v>9.0500000000000007</v>
      </c>
      <c r="K425" s="1222"/>
      <c r="L425" s="1249">
        <v>9.11</v>
      </c>
      <c r="M425" s="1249"/>
      <c r="O425" s="8"/>
      <c r="P425" s="8"/>
      <c r="Q425" s="8"/>
      <c r="R425" s="8"/>
      <c r="S425" s="8"/>
    </row>
    <row r="426" spans="2:19" ht="18.75" customHeight="1" thickBot="1" x14ac:dyDescent="0.3">
      <c r="B426" s="1141" t="s">
        <v>1103</v>
      </c>
      <c r="C426" s="1141"/>
      <c r="D426" s="1223">
        <v>8.5399999999999991</v>
      </c>
      <c r="E426" s="1223"/>
      <c r="F426" s="1223">
        <v>8.4600000000000009</v>
      </c>
      <c r="G426" s="1223"/>
      <c r="H426" s="1222">
        <v>9.31</v>
      </c>
      <c r="I426" s="1222"/>
      <c r="J426" s="1222">
        <v>7.69</v>
      </c>
      <c r="K426" s="1222"/>
      <c r="L426" s="1249">
        <v>9.23</v>
      </c>
      <c r="M426" s="1249"/>
      <c r="O426" s="8"/>
      <c r="P426" s="8"/>
      <c r="Q426" s="8"/>
      <c r="R426" s="8"/>
      <c r="S426" s="8"/>
    </row>
    <row r="427" spans="2:19" ht="24.75" customHeight="1" thickBot="1" x14ac:dyDescent="0.3">
      <c r="B427" s="1141" t="s">
        <v>341</v>
      </c>
      <c r="C427" s="1141"/>
      <c r="D427" s="1223">
        <v>7.79</v>
      </c>
      <c r="E427" s="1223"/>
      <c r="F427" s="1223">
        <v>8.1300000000000008</v>
      </c>
      <c r="G427" s="1223"/>
      <c r="H427" s="1222">
        <v>8</v>
      </c>
      <c r="I427" s="1222"/>
      <c r="J427" s="1222">
        <v>7.88</v>
      </c>
      <c r="K427" s="1222"/>
      <c r="L427" s="1249">
        <v>7.88</v>
      </c>
      <c r="M427" s="1249"/>
      <c r="O427" s="8"/>
      <c r="P427" s="8"/>
      <c r="Q427" s="8"/>
      <c r="R427" s="8"/>
      <c r="S427" s="8"/>
    </row>
    <row r="428" spans="2:19" ht="25.5" customHeight="1" thickBot="1" x14ac:dyDescent="0.3">
      <c r="B428" s="1141" t="s">
        <v>352</v>
      </c>
      <c r="C428" s="1141"/>
      <c r="D428" s="1223">
        <v>8.31</v>
      </c>
      <c r="E428" s="1223"/>
      <c r="F428" s="1223">
        <v>8.69</v>
      </c>
      <c r="G428" s="1223"/>
      <c r="H428" s="1222">
        <v>9.33</v>
      </c>
      <c r="I428" s="1222"/>
      <c r="J428" s="1222">
        <v>7.67</v>
      </c>
      <c r="K428" s="1222"/>
      <c r="L428" s="1249">
        <v>8.14</v>
      </c>
      <c r="M428" s="1249"/>
      <c r="O428" s="8"/>
      <c r="P428" s="8"/>
      <c r="Q428" s="8"/>
      <c r="R428" s="8"/>
      <c r="S428" s="8"/>
    </row>
    <row r="429" spans="2:19" ht="18.75" customHeight="1" thickBot="1" x14ac:dyDescent="0.3">
      <c r="B429" s="1141" t="s">
        <v>601</v>
      </c>
      <c r="C429" s="1141"/>
      <c r="D429" s="1223">
        <v>9</v>
      </c>
      <c r="E429" s="1223"/>
      <c r="F429" s="1223">
        <v>8.84</v>
      </c>
      <c r="G429" s="1223"/>
      <c r="H429" s="1222">
        <v>8.9600000000000009</v>
      </c>
      <c r="I429" s="1222"/>
      <c r="J429" s="1222">
        <v>8.6</v>
      </c>
      <c r="K429" s="1222"/>
      <c r="L429" s="1249">
        <v>8.8000000000000007</v>
      </c>
      <c r="M429" s="1249"/>
      <c r="O429" s="8"/>
      <c r="P429" s="8"/>
      <c r="Q429" s="8"/>
      <c r="R429" s="8"/>
      <c r="S429" s="8"/>
    </row>
    <row r="430" spans="2:19" ht="18.75" customHeight="1" thickBot="1" x14ac:dyDescent="0.3">
      <c r="B430" s="1141" t="s">
        <v>590</v>
      </c>
      <c r="C430" s="1141"/>
      <c r="D430" s="1223">
        <v>7.67</v>
      </c>
      <c r="E430" s="1223"/>
      <c r="F430" s="1223">
        <v>9.33</v>
      </c>
      <c r="G430" s="1223"/>
      <c r="H430" s="1222">
        <v>8</v>
      </c>
      <c r="I430" s="1222"/>
      <c r="J430" s="1222">
        <v>9</v>
      </c>
      <c r="K430" s="1222"/>
      <c r="L430" s="1249">
        <v>8.33</v>
      </c>
      <c r="M430" s="1249"/>
      <c r="O430" s="8"/>
      <c r="P430" s="8"/>
      <c r="Q430" s="8"/>
      <c r="R430" s="8"/>
      <c r="S430" s="8"/>
    </row>
    <row r="431" spans="2:19" ht="15.75" thickBot="1" x14ac:dyDescent="0.3">
      <c r="B431" s="1141" t="s">
        <v>346</v>
      </c>
      <c r="C431" s="1141"/>
      <c r="D431" s="1223">
        <v>4</v>
      </c>
      <c r="E431" s="1223"/>
      <c r="F431" s="1223">
        <v>5.75</v>
      </c>
      <c r="G431" s="1223"/>
      <c r="H431" s="1222">
        <v>3.5</v>
      </c>
      <c r="I431" s="1222"/>
      <c r="J431" s="1222">
        <v>7.5</v>
      </c>
      <c r="K431" s="1222"/>
      <c r="L431" s="1249">
        <v>5</v>
      </c>
      <c r="M431" s="1249"/>
      <c r="O431" s="8"/>
      <c r="P431" s="8"/>
      <c r="Q431" s="8"/>
      <c r="R431" s="8"/>
      <c r="S431" s="8"/>
    </row>
    <row r="432" spans="2:19" ht="18.75" customHeight="1" thickBot="1" x14ac:dyDescent="0.3">
      <c r="B432" s="1141" t="s">
        <v>602</v>
      </c>
      <c r="C432" s="1141"/>
      <c r="D432" s="1223">
        <v>7.55</v>
      </c>
      <c r="E432" s="1223"/>
      <c r="F432" s="1223">
        <v>6.32</v>
      </c>
      <c r="G432" s="1223"/>
      <c r="H432" s="1222">
        <v>8.32</v>
      </c>
      <c r="I432" s="1222"/>
      <c r="J432" s="1222">
        <v>7.32</v>
      </c>
      <c r="K432" s="1222"/>
      <c r="L432" s="1249">
        <v>7.55</v>
      </c>
      <c r="M432" s="1249"/>
      <c r="O432" s="8"/>
      <c r="P432" s="8"/>
      <c r="Q432" s="8"/>
      <c r="R432" s="8"/>
      <c r="S432" s="8"/>
    </row>
    <row r="433" spans="2:19" ht="24.75" customHeight="1" thickBot="1" x14ac:dyDescent="0.3">
      <c r="B433" s="1141" t="s">
        <v>895</v>
      </c>
      <c r="C433" s="1141"/>
      <c r="D433" s="1223">
        <v>9.3800000000000008</v>
      </c>
      <c r="E433" s="1223"/>
      <c r="F433" s="1223">
        <v>9.06</v>
      </c>
      <c r="G433" s="1223"/>
      <c r="H433" s="1222">
        <v>9.5</v>
      </c>
      <c r="I433" s="1222"/>
      <c r="J433" s="1222">
        <v>8.44</v>
      </c>
      <c r="K433" s="1222"/>
      <c r="L433" s="1249">
        <v>9</v>
      </c>
      <c r="M433" s="1249"/>
      <c r="O433" s="8"/>
      <c r="P433" s="8"/>
      <c r="Q433" s="8"/>
      <c r="R433" s="8"/>
      <c r="S433" s="8"/>
    </row>
    <row r="434" spans="2:19" ht="18.75" customHeight="1" thickBot="1" x14ac:dyDescent="0.3">
      <c r="B434" s="1145" t="s">
        <v>583</v>
      </c>
      <c r="C434" s="1145"/>
      <c r="D434" s="1223">
        <v>7.69</v>
      </c>
      <c r="E434" s="1223"/>
      <c r="F434" s="1223">
        <v>7.45</v>
      </c>
      <c r="G434" s="1223"/>
      <c r="H434" s="1222">
        <v>7.5</v>
      </c>
      <c r="I434" s="1222"/>
      <c r="J434" s="1222">
        <v>7.76</v>
      </c>
      <c r="K434" s="1222"/>
      <c r="L434" s="1249">
        <v>7.23</v>
      </c>
      <c r="M434" s="1249"/>
      <c r="O434" s="8"/>
      <c r="P434" s="8"/>
      <c r="Q434" s="8"/>
      <c r="R434" s="8"/>
      <c r="S434" s="8"/>
    </row>
    <row r="435" spans="2:19" ht="18.75" customHeight="1" thickBot="1" x14ac:dyDescent="0.3">
      <c r="B435" s="1141" t="s">
        <v>893</v>
      </c>
      <c r="C435" s="1141"/>
      <c r="D435" s="1223">
        <v>7.95</v>
      </c>
      <c r="E435" s="1223"/>
      <c r="F435" s="1223">
        <v>7.9</v>
      </c>
      <c r="G435" s="1223"/>
      <c r="H435" s="1222">
        <v>7.95</v>
      </c>
      <c r="I435" s="1222"/>
      <c r="J435" s="1222">
        <v>8.16</v>
      </c>
      <c r="K435" s="1222"/>
      <c r="L435" s="1249">
        <v>8.1</v>
      </c>
      <c r="M435" s="1249"/>
      <c r="O435" s="8"/>
      <c r="P435" s="8"/>
      <c r="Q435" s="8"/>
      <c r="R435" s="8"/>
      <c r="S435" s="8"/>
    </row>
    <row r="436" spans="2:19" ht="36" customHeight="1" thickBot="1" x14ac:dyDescent="0.3">
      <c r="B436" s="1141" t="s">
        <v>598</v>
      </c>
      <c r="C436" s="1141"/>
      <c r="D436" s="1223">
        <v>9.6999999999999993</v>
      </c>
      <c r="E436" s="1223"/>
      <c r="F436" s="1223">
        <v>9.67</v>
      </c>
      <c r="G436" s="1223"/>
      <c r="H436" s="1222">
        <v>9.59</v>
      </c>
      <c r="I436" s="1222"/>
      <c r="J436" s="1222">
        <v>9.59</v>
      </c>
      <c r="K436" s="1222"/>
      <c r="L436" s="1249">
        <v>9.74</v>
      </c>
      <c r="M436" s="1249"/>
      <c r="O436" s="8"/>
      <c r="P436" s="8"/>
      <c r="Q436" s="8"/>
      <c r="R436" s="8"/>
      <c r="S436" s="8"/>
    </row>
    <row r="437" spans="2:19" ht="43.5" customHeight="1" thickBot="1" x14ac:dyDescent="0.3">
      <c r="B437" s="1141" t="s">
        <v>1233</v>
      </c>
      <c r="C437" s="1141"/>
      <c r="D437" s="1223">
        <v>4.5</v>
      </c>
      <c r="E437" s="1223"/>
      <c r="F437" s="1223">
        <v>6.5</v>
      </c>
      <c r="G437" s="1223"/>
      <c r="H437" s="1222">
        <v>3.5</v>
      </c>
      <c r="I437" s="1222"/>
      <c r="J437" s="1222">
        <v>2.5</v>
      </c>
      <c r="K437" s="1222"/>
      <c r="L437" s="1249">
        <v>4.5</v>
      </c>
      <c r="M437" s="1249"/>
      <c r="O437" s="8"/>
      <c r="P437" s="8"/>
      <c r="Q437" s="8"/>
      <c r="R437" s="8"/>
      <c r="S437" s="8"/>
    </row>
    <row r="438" spans="2:19" ht="18.75" customHeight="1" thickBot="1" x14ac:dyDescent="0.3">
      <c r="B438" s="1141" t="s">
        <v>599</v>
      </c>
      <c r="C438" s="1141"/>
      <c r="D438" s="1223">
        <v>8.83</v>
      </c>
      <c r="E438" s="1223"/>
      <c r="F438" s="1223">
        <v>8.94</v>
      </c>
      <c r="G438" s="1223"/>
      <c r="H438" s="1222">
        <v>9.2899999999999991</v>
      </c>
      <c r="I438" s="1222"/>
      <c r="J438" s="1222">
        <v>8.44</v>
      </c>
      <c r="K438" s="1222"/>
      <c r="L438" s="1249">
        <v>8.75</v>
      </c>
      <c r="M438" s="1249"/>
      <c r="O438" s="8"/>
      <c r="P438" s="8"/>
      <c r="Q438" s="8"/>
      <c r="R438" s="8"/>
      <c r="S438" s="8"/>
    </row>
    <row r="439" spans="2:19" ht="18.75" customHeight="1" thickBot="1" x14ac:dyDescent="0.3">
      <c r="B439" s="1141" t="s">
        <v>595</v>
      </c>
      <c r="C439" s="1141"/>
      <c r="D439" s="1223" t="s">
        <v>51</v>
      </c>
      <c r="E439" s="1223"/>
      <c r="F439" s="1223" t="s">
        <v>51</v>
      </c>
      <c r="G439" s="1223"/>
      <c r="H439" s="1258" t="s">
        <v>51</v>
      </c>
      <c r="I439" s="1258"/>
      <c r="J439" s="1258" t="s">
        <v>51</v>
      </c>
      <c r="K439" s="1258"/>
      <c r="L439" s="1249" t="s">
        <v>51</v>
      </c>
      <c r="M439" s="1249"/>
      <c r="O439" s="8"/>
      <c r="P439" s="8"/>
      <c r="Q439" s="8"/>
      <c r="R439" s="8"/>
      <c r="S439" s="8"/>
    </row>
    <row r="440" spans="2:19" ht="34.5" customHeight="1" thickBot="1" x14ac:dyDescent="0.3">
      <c r="B440" s="1141" t="s">
        <v>589</v>
      </c>
      <c r="C440" s="1141"/>
      <c r="D440" s="1223">
        <v>8.33</v>
      </c>
      <c r="E440" s="1223"/>
      <c r="F440" s="1223">
        <v>9</v>
      </c>
      <c r="G440" s="1223"/>
      <c r="H440" s="1222">
        <v>9</v>
      </c>
      <c r="I440" s="1222"/>
      <c r="J440" s="1222">
        <v>8.67</v>
      </c>
      <c r="K440" s="1222"/>
      <c r="L440" s="1249">
        <v>8.33</v>
      </c>
      <c r="M440" s="1249"/>
      <c r="O440" s="8"/>
      <c r="P440" s="8"/>
      <c r="Q440" s="8"/>
      <c r="R440" s="8"/>
      <c r="S440" s="8"/>
    </row>
    <row r="441" spans="2:19" ht="33.75" customHeight="1" thickBot="1" x14ac:dyDescent="0.3">
      <c r="B441" s="1141" t="s">
        <v>592</v>
      </c>
      <c r="C441" s="1141"/>
      <c r="D441" s="1223">
        <v>9.6</v>
      </c>
      <c r="E441" s="1223"/>
      <c r="F441" s="1223">
        <v>9.3800000000000008</v>
      </c>
      <c r="G441" s="1223"/>
      <c r="H441" s="1222">
        <v>9.6</v>
      </c>
      <c r="I441" s="1222"/>
      <c r="J441" s="1222">
        <v>9.49</v>
      </c>
      <c r="K441" s="1222"/>
      <c r="L441" s="1249">
        <v>9.5500000000000007</v>
      </c>
      <c r="M441" s="1249"/>
      <c r="O441" s="8"/>
      <c r="P441" s="8"/>
      <c r="Q441" s="8"/>
      <c r="R441" s="8"/>
      <c r="S441" s="8"/>
    </row>
    <row r="442" spans="2:19" ht="33.75" customHeight="1" thickBot="1" x14ac:dyDescent="0.3">
      <c r="B442" s="1142" t="s">
        <v>1207</v>
      </c>
      <c r="C442" s="1142"/>
      <c r="D442" s="1223">
        <v>9.67</v>
      </c>
      <c r="E442" s="1223"/>
      <c r="F442" s="1223">
        <v>9.67</v>
      </c>
      <c r="G442" s="1223"/>
      <c r="H442" s="1222">
        <v>10</v>
      </c>
      <c r="I442" s="1222"/>
      <c r="J442" s="1222">
        <v>9.67</v>
      </c>
      <c r="K442" s="1222"/>
      <c r="L442" s="1249">
        <v>8.33</v>
      </c>
      <c r="M442" s="1249"/>
      <c r="O442" s="8"/>
      <c r="P442" s="8"/>
      <c r="Q442" s="8"/>
      <c r="R442" s="8"/>
      <c r="S442" s="8"/>
    </row>
    <row r="443" spans="2:19" ht="18.75" customHeight="1" thickBot="1" x14ac:dyDescent="0.3">
      <c r="B443" s="1141" t="s">
        <v>359</v>
      </c>
      <c r="C443" s="1141"/>
      <c r="D443" s="1223">
        <v>9.33</v>
      </c>
      <c r="E443" s="1223"/>
      <c r="F443" s="1223">
        <v>9.89</v>
      </c>
      <c r="G443" s="1223"/>
      <c r="H443" s="1222">
        <v>9.89</v>
      </c>
      <c r="I443" s="1222"/>
      <c r="J443" s="1222">
        <v>9.89</v>
      </c>
      <c r="K443" s="1222"/>
      <c r="L443" s="1249">
        <v>9.44</v>
      </c>
      <c r="M443" s="1249"/>
      <c r="O443" s="8"/>
      <c r="P443" s="8"/>
      <c r="Q443" s="8"/>
      <c r="R443" s="8"/>
      <c r="S443" s="8"/>
    </row>
    <row r="444" spans="2:19" ht="24.75" customHeight="1" thickBot="1" x14ac:dyDescent="0.3">
      <c r="B444" s="1141" t="s">
        <v>600</v>
      </c>
      <c r="C444" s="1141"/>
      <c r="D444" s="1223">
        <v>7.41</v>
      </c>
      <c r="E444" s="1223"/>
      <c r="F444" s="1223">
        <v>7.76</v>
      </c>
      <c r="G444" s="1223"/>
      <c r="H444" s="1227">
        <v>7.68</v>
      </c>
      <c r="I444" s="1227"/>
      <c r="J444" s="1227">
        <v>6.95</v>
      </c>
      <c r="K444" s="1227"/>
      <c r="L444" s="1249">
        <v>7.11</v>
      </c>
      <c r="M444" s="1249"/>
      <c r="O444" s="8"/>
      <c r="P444" s="8"/>
      <c r="Q444" s="8"/>
      <c r="R444" s="8"/>
      <c r="S444" s="8"/>
    </row>
    <row r="445" spans="2:19" ht="18.75" customHeight="1" thickBot="1" x14ac:dyDescent="0.3">
      <c r="B445" s="1141" t="s">
        <v>594</v>
      </c>
      <c r="C445" s="1141"/>
      <c r="D445" s="1223">
        <v>5</v>
      </c>
      <c r="E445" s="1223"/>
      <c r="F445" s="1223">
        <v>6</v>
      </c>
      <c r="G445" s="1223"/>
      <c r="H445" s="1222">
        <v>2</v>
      </c>
      <c r="I445" s="1222"/>
      <c r="J445" s="1222">
        <v>4</v>
      </c>
      <c r="K445" s="1222"/>
      <c r="L445" s="1249">
        <v>5</v>
      </c>
      <c r="M445" s="1249"/>
      <c r="O445" s="8"/>
      <c r="P445" s="8"/>
      <c r="Q445" s="8"/>
      <c r="R445" s="8"/>
      <c r="S445" s="8"/>
    </row>
    <row r="446" spans="2:19" ht="18.75" customHeight="1" thickBot="1" x14ac:dyDescent="0.3">
      <c r="B446" s="1141" t="s">
        <v>588</v>
      </c>
      <c r="C446" s="1141"/>
      <c r="D446" s="1223">
        <v>7.67</v>
      </c>
      <c r="E446" s="1223"/>
      <c r="F446" s="1223">
        <v>8</v>
      </c>
      <c r="G446" s="1223"/>
      <c r="H446" s="1222">
        <v>8</v>
      </c>
      <c r="I446" s="1222"/>
      <c r="J446" s="1222">
        <v>6</v>
      </c>
      <c r="K446" s="1222"/>
      <c r="L446" s="1249">
        <v>7.33</v>
      </c>
      <c r="M446" s="1249"/>
      <c r="O446" s="8"/>
      <c r="P446" s="8"/>
      <c r="Q446" s="8"/>
      <c r="R446" s="8"/>
      <c r="S446" s="8"/>
    </row>
    <row r="447" spans="2:19" ht="18.75" customHeight="1" thickBot="1" x14ac:dyDescent="0.3">
      <c r="B447" s="1141" t="s">
        <v>343</v>
      </c>
      <c r="C447" s="1141"/>
      <c r="D447" s="1223">
        <v>7.5</v>
      </c>
      <c r="E447" s="1223"/>
      <c r="F447" s="1223">
        <v>7</v>
      </c>
      <c r="G447" s="1223"/>
      <c r="H447" s="1222">
        <v>7.5</v>
      </c>
      <c r="I447" s="1222"/>
      <c r="J447" s="1222">
        <v>7</v>
      </c>
      <c r="K447" s="1222"/>
      <c r="L447" s="1249">
        <v>7.5</v>
      </c>
      <c r="M447" s="1249"/>
      <c r="O447" s="8"/>
      <c r="P447" s="8"/>
      <c r="Q447" s="8"/>
      <c r="R447" s="8"/>
      <c r="S447" s="8"/>
    </row>
    <row r="448" spans="2:19" ht="18.75" customHeight="1" thickBot="1" x14ac:dyDescent="0.3">
      <c r="B448" s="1141" t="s">
        <v>355</v>
      </c>
      <c r="C448" s="1141"/>
      <c r="D448" s="1223">
        <v>8</v>
      </c>
      <c r="E448" s="1223"/>
      <c r="F448" s="1223">
        <v>8</v>
      </c>
      <c r="G448" s="1223"/>
      <c r="H448" s="1222">
        <v>10</v>
      </c>
      <c r="I448" s="1222"/>
      <c r="J448" s="1222">
        <v>7</v>
      </c>
      <c r="K448" s="1222"/>
      <c r="L448" s="1249">
        <v>7</v>
      </c>
      <c r="M448" s="1249"/>
      <c r="O448" s="8"/>
      <c r="P448" s="8"/>
      <c r="Q448" s="8"/>
      <c r="R448" s="8"/>
      <c r="S448" s="8"/>
    </row>
    <row r="449" spans="2:19" ht="18.75" customHeight="1" thickBot="1" x14ac:dyDescent="0.3">
      <c r="B449" s="1141" t="s">
        <v>280</v>
      </c>
      <c r="C449" s="1141"/>
      <c r="D449" s="1223">
        <v>6.48</v>
      </c>
      <c r="E449" s="1223"/>
      <c r="F449" s="1223">
        <v>7.48</v>
      </c>
      <c r="G449" s="1223"/>
      <c r="H449" s="1222">
        <v>7.4</v>
      </c>
      <c r="I449" s="1222"/>
      <c r="J449" s="1222">
        <v>7.84</v>
      </c>
      <c r="K449" s="1222"/>
      <c r="L449" s="1249">
        <v>7.32</v>
      </c>
      <c r="M449" s="1249"/>
      <c r="O449" s="8"/>
      <c r="P449" s="8"/>
      <c r="Q449" s="8"/>
      <c r="R449" s="8"/>
      <c r="S449" s="8"/>
    </row>
    <row r="450" spans="2:19" ht="24" customHeight="1" thickBot="1" x14ac:dyDescent="0.3">
      <c r="B450" s="1141" t="s">
        <v>324</v>
      </c>
      <c r="C450" s="1141"/>
      <c r="D450" s="1223">
        <v>9.1199999999999992</v>
      </c>
      <c r="E450" s="1223"/>
      <c r="F450" s="1223">
        <v>9.08</v>
      </c>
      <c r="G450" s="1223"/>
      <c r="H450" s="1222">
        <v>9.06</v>
      </c>
      <c r="I450" s="1222"/>
      <c r="J450" s="1222">
        <v>9.02</v>
      </c>
      <c r="K450" s="1222"/>
      <c r="L450" s="1249">
        <v>9.14</v>
      </c>
      <c r="M450" s="1249"/>
      <c r="O450" s="8"/>
      <c r="P450" s="8"/>
      <c r="Q450" s="8"/>
      <c r="R450" s="8"/>
      <c r="S450" s="8"/>
    </row>
    <row r="451" spans="2:19" ht="24" customHeight="1" thickBot="1" x14ac:dyDescent="0.3">
      <c r="B451" s="1141" t="s">
        <v>586</v>
      </c>
      <c r="C451" s="1141"/>
      <c r="D451" s="1223">
        <v>9.07</v>
      </c>
      <c r="E451" s="1223"/>
      <c r="F451" s="1223">
        <v>9.07</v>
      </c>
      <c r="G451" s="1223"/>
      <c r="H451" s="1222">
        <v>8.89</v>
      </c>
      <c r="I451" s="1222"/>
      <c r="J451" s="1222">
        <v>8.91</v>
      </c>
      <c r="K451" s="1222"/>
      <c r="L451" s="1249">
        <v>9.0399999999999991</v>
      </c>
      <c r="M451" s="1249"/>
      <c r="O451" s="8"/>
      <c r="P451" s="8"/>
      <c r="Q451" s="8"/>
      <c r="R451" s="8"/>
      <c r="S451" s="8"/>
    </row>
    <row r="452" spans="2:19" ht="25.5" customHeight="1" thickBot="1" x14ac:dyDescent="0.3">
      <c r="B452" s="1141" t="s">
        <v>335</v>
      </c>
      <c r="C452" s="1141"/>
      <c r="D452" s="1223">
        <v>7.98</v>
      </c>
      <c r="E452" s="1223"/>
      <c r="F452" s="1223">
        <v>7.53</v>
      </c>
      <c r="G452" s="1223"/>
      <c r="H452" s="1222">
        <v>7.94</v>
      </c>
      <c r="I452" s="1222"/>
      <c r="J452" s="1222">
        <v>7.4</v>
      </c>
      <c r="K452" s="1222"/>
      <c r="L452" s="1249">
        <v>7.91</v>
      </c>
      <c r="M452" s="1249"/>
      <c r="O452" s="8"/>
      <c r="P452" s="8"/>
      <c r="Q452" s="8"/>
      <c r="R452" s="8"/>
      <c r="S452" s="8"/>
    </row>
    <row r="453" spans="2:19" ht="18.75" customHeight="1" thickBot="1" x14ac:dyDescent="0.3">
      <c r="B453" s="1141" t="s">
        <v>587</v>
      </c>
      <c r="C453" s="1141"/>
      <c r="D453" s="1223">
        <v>8.3800000000000008</v>
      </c>
      <c r="E453" s="1223"/>
      <c r="F453" s="1223">
        <v>8.5</v>
      </c>
      <c r="G453" s="1223"/>
      <c r="H453" s="1222">
        <v>8.75</v>
      </c>
      <c r="I453" s="1222"/>
      <c r="J453" s="1222">
        <v>6.33</v>
      </c>
      <c r="K453" s="1222"/>
      <c r="L453" s="1249">
        <v>5.75</v>
      </c>
      <c r="M453" s="1249"/>
      <c r="O453" s="8"/>
      <c r="P453" s="8"/>
      <c r="Q453" s="8"/>
      <c r="R453" s="8"/>
      <c r="S453" s="8"/>
    </row>
    <row r="454" spans="2:19" ht="15.75" thickBot="1" x14ac:dyDescent="0.3">
      <c r="B454" s="1141" t="s">
        <v>349</v>
      </c>
      <c r="C454" s="1141"/>
      <c r="D454" s="1223">
        <v>8.5</v>
      </c>
      <c r="E454" s="1223"/>
      <c r="F454" s="1223">
        <v>9</v>
      </c>
      <c r="G454" s="1223"/>
      <c r="H454" s="1222">
        <v>10</v>
      </c>
      <c r="I454" s="1222"/>
      <c r="J454" s="1222">
        <v>7</v>
      </c>
      <c r="K454" s="1222"/>
      <c r="L454" s="1249">
        <v>8</v>
      </c>
      <c r="M454" s="1249"/>
      <c r="O454" s="8"/>
      <c r="P454" s="8"/>
      <c r="Q454" s="8"/>
      <c r="R454" s="8"/>
      <c r="S454" s="8"/>
    </row>
    <row r="455" spans="2:19" ht="24" customHeight="1" thickBot="1" x14ac:dyDescent="0.3">
      <c r="B455" s="1141" t="s">
        <v>593</v>
      </c>
      <c r="C455" s="1141"/>
      <c r="D455" s="1223">
        <v>8</v>
      </c>
      <c r="E455" s="1223"/>
      <c r="F455" s="1223">
        <v>7.5</v>
      </c>
      <c r="G455" s="1223"/>
      <c r="H455" s="1222">
        <v>7.5</v>
      </c>
      <c r="I455" s="1222"/>
      <c r="J455" s="1222">
        <v>7.5</v>
      </c>
      <c r="K455" s="1222"/>
      <c r="L455" s="1249">
        <v>8</v>
      </c>
      <c r="M455" s="1249"/>
      <c r="O455" s="8"/>
      <c r="P455" s="8"/>
      <c r="Q455" s="8"/>
      <c r="R455" s="8"/>
      <c r="S455" s="8"/>
    </row>
    <row r="456" spans="2:19" ht="18.75" customHeight="1" thickBot="1" x14ac:dyDescent="0.3">
      <c r="B456" s="1141" t="s">
        <v>597</v>
      </c>
      <c r="C456" s="1141"/>
      <c r="D456" s="1223">
        <v>7.55</v>
      </c>
      <c r="E456" s="1223"/>
      <c r="F456" s="1223">
        <v>6.82</v>
      </c>
      <c r="G456" s="1223"/>
      <c r="H456" s="1222">
        <v>8.4499999999999993</v>
      </c>
      <c r="I456" s="1222"/>
      <c r="J456" s="1222">
        <v>7.27</v>
      </c>
      <c r="K456" s="1222"/>
      <c r="L456" s="1249">
        <v>7.82</v>
      </c>
      <c r="M456" s="1249"/>
      <c r="O456" s="8"/>
      <c r="P456" s="8"/>
      <c r="Q456" s="8"/>
      <c r="R456" s="8"/>
      <c r="S456" s="8"/>
    </row>
    <row r="457" spans="2:19" ht="24.75" customHeight="1" thickBot="1" x14ac:dyDescent="0.3">
      <c r="B457" s="1145" t="s">
        <v>1100</v>
      </c>
      <c r="C457" s="1145"/>
      <c r="D457" s="1223">
        <v>10</v>
      </c>
      <c r="E457" s="1223"/>
      <c r="F457" s="1223">
        <v>9</v>
      </c>
      <c r="G457" s="1223"/>
      <c r="H457" s="1222">
        <v>10</v>
      </c>
      <c r="I457" s="1222"/>
      <c r="J457" s="1222">
        <v>9</v>
      </c>
      <c r="K457" s="1222"/>
      <c r="L457" s="1249">
        <v>9</v>
      </c>
      <c r="M457" s="1249"/>
      <c r="O457" s="8"/>
      <c r="P457" s="8"/>
      <c r="Q457" s="8"/>
      <c r="R457" s="8"/>
      <c r="S457" s="8"/>
    </row>
    <row r="458" spans="2:19" ht="18.75" customHeight="1" thickBot="1" x14ac:dyDescent="0.3">
      <c r="B458" s="1141" t="s">
        <v>1101</v>
      </c>
      <c r="C458" s="1141"/>
      <c r="D458" s="1223">
        <v>9.14</v>
      </c>
      <c r="E458" s="1223"/>
      <c r="F458" s="1223">
        <v>9.3000000000000007</v>
      </c>
      <c r="G458" s="1223"/>
      <c r="H458" s="1222">
        <v>9.4700000000000006</v>
      </c>
      <c r="I458" s="1222"/>
      <c r="J458" s="1222">
        <v>9.33</v>
      </c>
      <c r="K458" s="1222"/>
      <c r="L458" s="1249">
        <v>9.14</v>
      </c>
      <c r="M458" s="1249"/>
      <c r="O458" s="8"/>
      <c r="P458" s="8"/>
      <c r="Q458" s="8"/>
      <c r="R458" s="8"/>
      <c r="S458" s="8"/>
    </row>
    <row r="459" spans="2:19" ht="23.25" customHeight="1" thickBot="1" x14ac:dyDescent="0.3">
      <c r="B459" s="1141" t="s">
        <v>603</v>
      </c>
      <c r="C459" s="1141"/>
      <c r="D459" s="1223">
        <v>9.73</v>
      </c>
      <c r="E459" s="1223"/>
      <c r="F459" s="1223">
        <v>6.82</v>
      </c>
      <c r="G459" s="1223"/>
      <c r="H459" s="1222">
        <v>8.4499999999999993</v>
      </c>
      <c r="I459" s="1222"/>
      <c r="J459" s="1222">
        <v>7.27</v>
      </c>
      <c r="K459" s="1222"/>
      <c r="L459" s="1249">
        <v>7.82</v>
      </c>
      <c r="M459" s="1249"/>
      <c r="O459" s="8"/>
      <c r="P459" s="8"/>
      <c r="Q459" s="8"/>
      <c r="R459" s="8"/>
      <c r="S459" s="8"/>
    </row>
    <row r="460" spans="2:19" ht="23.25" customHeight="1" thickBot="1" x14ac:dyDescent="0.3">
      <c r="B460" s="1141" t="s">
        <v>596</v>
      </c>
      <c r="C460" s="1141"/>
      <c r="D460" s="1223" t="s">
        <v>51</v>
      </c>
      <c r="E460" s="1223"/>
      <c r="F460" s="1223" t="s">
        <v>51</v>
      </c>
      <c r="G460" s="1223"/>
      <c r="H460" s="1258" t="s">
        <v>51</v>
      </c>
      <c r="I460" s="1258"/>
      <c r="J460" s="1258" t="s">
        <v>51</v>
      </c>
      <c r="K460" s="1258"/>
      <c r="L460" s="1249" t="s">
        <v>51</v>
      </c>
      <c r="M460" s="1249"/>
      <c r="O460" s="8"/>
      <c r="P460" s="8"/>
      <c r="Q460" s="8"/>
      <c r="R460" s="8"/>
      <c r="S460" s="8"/>
    </row>
    <row r="461" spans="2:19" ht="18.75" customHeight="1" thickBot="1" x14ac:dyDescent="0.3">
      <c r="B461" s="1141" t="s">
        <v>326</v>
      </c>
      <c r="C461" s="1141"/>
      <c r="D461" s="1223" t="s">
        <v>51</v>
      </c>
      <c r="E461" s="1223"/>
      <c r="F461" s="1223" t="s">
        <v>51</v>
      </c>
      <c r="G461" s="1223"/>
      <c r="H461" s="1222" t="s">
        <v>51</v>
      </c>
      <c r="I461" s="1222"/>
      <c r="J461" s="1222" t="s">
        <v>51</v>
      </c>
      <c r="K461" s="1222"/>
      <c r="L461" s="1249" t="s">
        <v>51</v>
      </c>
      <c r="M461" s="1249"/>
      <c r="O461" s="8"/>
      <c r="P461" s="8"/>
      <c r="Q461" s="8"/>
      <c r="R461" s="8"/>
      <c r="S461" s="8"/>
    </row>
    <row r="462" spans="2:19" ht="18.75" customHeight="1" thickBot="1" x14ac:dyDescent="0.3">
      <c r="B462" s="1145" t="s">
        <v>339</v>
      </c>
      <c r="C462" s="1145"/>
      <c r="D462" s="1223">
        <v>10</v>
      </c>
      <c r="E462" s="1223"/>
      <c r="F462" s="1223">
        <v>9.5</v>
      </c>
      <c r="G462" s="1223"/>
      <c r="H462" s="1222">
        <v>10</v>
      </c>
      <c r="I462" s="1222"/>
      <c r="J462" s="1222">
        <v>8.5</v>
      </c>
      <c r="K462" s="1222"/>
      <c r="L462" s="1249">
        <v>10</v>
      </c>
      <c r="M462" s="1249"/>
      <c r="O462" s="8"/>
      <c r="P462" s="8"/>
      <c r="Q462" s="8"/>
      <c r="R462" s="8"/>
      <c r="S462" s="8"/>
    </row>
    <row r="463" spans="2:19" ht="20.25" customHeight="1" thickBot="1" x14ac:dyDescent="0.3">
      <c r="B463" s="1269" t="s">
        <v>519</v>
      </c>
      <c r="C463" s="1269"/>
      <c r="D463" s="1235">
        <f>AVERAGE(D412:E462)</f>
        <v>8.0148888888888887</v>
      </c>
      <c r="E463" s="1235"/>
      <c r="F463" s="1235">
        <f>AVERAGE(F412:G462)</f>
        <v>8.1442222222222203</v>
      </c>
      <c r="G463" s="1235"/>
      <c r="H463" s="1235">
        <f>AVERAGE(H412:I462)</f>
        <v>8.2928888888888874</v>
      </c>
      <c r="I463" s="1235"/>
      <c r="J463" s="1235">
        <f>AVERAGE(J412:K462)</f>
        <v>7.8435555555555512</v>
      </c>
      <c r="K463" s="1235"/>
      <c r="L463" s="1235">
        <f>AVERAGE(L412:M462)</f>
        <v>7.93888888888889</v>
      </c>
      <c r="M463" s="1235"/>
      <c r="O463" s="8"/>
      <c r="P463" s="8"/>
      <c r="Q463" s="8"/>
      <c r="R463" s="8"/>
      <c r="S463" s="8"/>
    </row>
    <row r="464" spans="2:19" x14ac:dyDescent="0.25">
      <c r="B464" s="41"/>
    </row>
    <row r="465" spans="2:19" ht="15" customHeight="1" x14ac:dyDescent="0.25">
      <c r="B465" s="1228" t="s">
        <v>9</v>
      </c>
      <c r="C465" s="1228"/>
      <c r="D465" s="1228"/>
      <c r="E465" s="1228"/>
      <c r="F465" s="1228"/>
      <c r="G465" s="1228"/>
      <c r="H465" s="1228"/>
      <c r="I465" s="1228"/>
      <c r="J465" s="1228"/>
      <c r="K465" s="1228"/>
      <c r="L465" s="1228"/>
      <c r="M465" s="1228"/>
    </row>
    <row r="466" spans="2:19" ht="15" customHeight="1" x14ac:dyDescent="0.25">
      <c r="B466" s="1153" t="s">
        <v>249</v>
      </c>
      <c r="C466" s="1153"/>
      <c r="D466" s="1158" t="s">
        <v>1099</v>
      </c>
      <c r="E466" s="1158"/>
      <c r="F466" s="1158" t="s">
        <v>514</v>
      </c>
      <c r="G466" s="1158"/>
      <c r="H466" s="1158" t="s">
        <v>1114</v>
      </c>
      <c r="I466" s="1158"/>
      <c r="J466" s="1158" t="s">
        <v>520</v>
      </c>
      <c r="K466" s="1158"/>
      <c r="L466" s="1158" t="s">
        <v>581</v>
      </c>
      <c r="M466" s="1158"/>
    </row>
    <row r="467" spans="2:19" ht="47.25" customHeight="1" thickBot="1" x14ac:dyDescent="0.3">
      <c r="B467" s="1158"/>
      <c r="C467" s="1158"/>
      <c r="D467" s="1248" t="s">
        <v>1092</v>
      </c>
      <c r="E467" s="1248"/>
      <c r="F467" s="1248" t="s">
        <v>1093</v>
      </c>
      <c r="G467" s="1248"/>
      <c r="H467" s="1248" t="s">
        <v>1115</v>
      </c>
      <c r="I467" s="1248"/>
      <c r="J467" s="1248" t="s">
        <v>1208</v>
      </c>
      <c r="K467" s="1248"/>
      <c r="L467" s="1248" t="s">
        <v>1091</v>
      </c>
      <c r="M467" s="1248"/>
    </row>
    <row r="468" spans="2:19" ht="35.25" customHeight="1" thickBot="1" x14ac:dyDescent="0.3">
      <c r="B468" s="1230" t="s">
        <v>1392</v>
      </c>
      <c r="C468" s="1230"/>
      <c r="D468" s="1232">
        <v>4</v>
      </c>
      <c r="E468" s="1232"/>
      <c r="F468" s="1232">
        <v>1.5</v>
      </c>
      <c r="G468" s="1232"/>
      <c r="H468" s="1233">
        <v>1.5</v>
      </c>
      <c r="I468" s="1233"/>
      <c r="J468" s="1234">
        <v>4.5</v>
      </c>
      <c r="K468" s="889"/>
      <c r="L468" s="1244">
        <v>2.5</v>
      </c>
      <c r="M468" s="1244"/>
      <c r="O468" s="8"/>
      <c r="P468" s="8"/>
      <c r="Q468" s="8"/>
      <c r="R468" s="8"/>
      <c r="S468" s="8"/>
    </row>
    <row r="469" spans="2:19" ht="35.25" customHeight="1" thickBot="1" x14ac:dyDescent="0.3">
      <c r="B469" s="1230" t="s">
        <v>1213</v>
      </c>
      <c r="C469" s="1230"/>
      <c r="D469" s="1232" t="s">
        <v>51</v>
      </c>
      <c r="E469" s="1232"/>
      <c r="F469" s="1232" t="s">
        <v>51</v>
      </c>
      <c r="G469" s="1232"/>
      <c r="H469" s="1233" t="s">
        <v>51</v>
      </c>
      <c r="I469" s="1233"/>
      <c r="J469" s="1234" t="s">
        <v>51</v>
      </c>
      <c r="K469" s="889"/>
      <c r="L469" s="1244" t="s">
        <v>51</v>
      </c>
      <c r="M469" s="1244"/>
      <c r="O469" s="8"/>
      <c r="P469" s="8"/>
      <c r="Q469" s="8"/>
      <c r="R469" s="8"/>
      <c r="S469" s="8"/>
    </row>
    <row r="470" spans="2:19" ht="35.25" customHeight="1" thickBot="1" x14ac:dyDescent="0.3">
      <c r="B470" s="1230" t="s">
        <v>1206</v>
      </c>
      <c r="C470" s="1230"/>
      <c r="D470" s="1232">
        <v>10</v>
      </c>
      <c r="E470" s="1232"/>
      <c r="F470" s="1232">
        <v>10</v>
      </c>
      <c r="G470" s="1232"/>
      <c r="H470" s="1233">
        <v>10</v>
      </c>
      <c r="I470" s="1233"/>
      <c r="J470" s="1234">
        <v>10</v>
      </c>
      <c r="K470" s="889"/>
      <c r="L470" s="1244">
        <v>10</v>
      </c>
      <c r="M470" s="1244"/>
      <c r="O470" s="8"/>
      <c r="P470" s="8"/>
      <c r="Q470" s="8"/>
      <c r="R470" s="8"/>
      <c r="S470" s="8"/>
    </row>
    <row r="471" spans="2:19" ht="35.25" customHeight="1" thickBot="1" x14ac:dyDescent="0.3">
      <c r="B471" s="1230" t="s">
        <v>1097</v>
      </c>
      <c r="C471" s="1230"/>
      <c r="D471" s="1232">
        <v>9</v>
      </c>
      <c r="E471" s="1232"/>
      <c r="F471" s="1232">
        <v>9.5</v>
      </c>
      <c r="G471" s="1232"/>
      <c r="H471" s="1233">
        <v>9.5</v>
      </c>
      <c r="I471" s="1233"/>
      <c r="J471" s="1234">
        <v>9</v>
      </c>
      <c r="K471" s="889"/>
      <c r="L471" s="1244">
        <v>10</v>
      </c>
      <c r="M471" s="1244"/>
      <c r="O471" s="8"/>
      <c r="P471" s="8"/>
      <c r="Q471" s="8"/>
      <c r="R471" s="8"/>
      <c r="S471" s="8"/>
    </row>
    <row r="472" spans="2:19" ht="36.75" customHeight="1" thickBot="1" x14ac:dyDescent="0.3">
      <c r="B472" s="1230" t="s">
        <v>1098</v>
      </c>
      <c r="C472" s="1230"/>
      <c r="D472" s="1232" t="s">
        <v>51</v>
      </c>
      <c r="E472" s="1232"/>
      <c r="F472" s="1232" t="s">
        <v>51</v>
      </c>
      <c r="G472" s="1232"/>
      <c r="H472" s="1233" t="s">
        <v>51</v>
      </c>
      <c r="I472" s="1233"/>
      <c r="J472" s="1234" t="s">
        <v>51</v>
      </c>
      <c r="K472" s="889"/>
      <c r="L472" s="1244" t="s">
        <v>51</v>
      </c>
      <c r="M472" s="1244"/>
      <c r="O472" s="8"/>
      <c r="P472" s="8"/>
      <c r="Q472" s="8"/>
      <c r="R472" s="8"/>
      <c r="S472" s="8"/>
    </row>
    <row r="473" spans="2:19" ht="18.75" customHeight="1" thickBot="1" x14ac:dyDescent="0.3">
      <c r="B473" s="1237" t="s">
        <v>309</v>
      </c>
      <c r="C473" s="1237"/>
      <c r="D473" s="1232">
        <v>9</v>
      </c>
      <c r="E473" s="1232"/>
      <c r="F473" s="1232">
        <v>8</v>
      </c>
      <c r="G473" s="1232"/>
      <c r="H473" s="1233">
        <v>9</v>
      </c>
      <c r="I473" s="1233"/>
      <c r="J473" s="1234">
        <v>8</v>
      </c>
      <c r="K473" s="889"/>
      <c r="L473" s="1244">
        <v>8</v>
      </c>
      <c r="M473" s="1244"/>
      <c r="O473" s="8"/>
      <c r="P473" s="8"/>
      <c r="Q473" s="8"/>
      <c r="R473" s="8"/>
      <c r="S473" s="8"/>
    </row>
    <row r="474" spans="2:19" ht="18.75" customHeight="1" thickBot="1" x14ac:dyDescent="0.3">
      <c r="B474" s="1237" t="s">
        <v>314</v>
      </c>
      <c r="C474" s="1237"/>
      <c r="D474" s="1232" t="s">
        <v>51</v>
      </c>
      <c r="E474" s="1232"/>
      <c r="F474" s="1232" t="s">
        <v>51</v>
      </c>
      <c r="G474" s="1232"/>
      <c r="H474" s="1233" t="s">
        <v>51</v>
      </c>
      <c r="I474" s="1233"/>
      <c r="J474" s="1234" t="s">
        <v>51</v>
      </c>
      <c r="K474" s="889"/>
      <c r="L474" s="1244" t="s">
        <v>51</v>
      </c>
      <c r="M474" s="1244"/>
      <c r="O474" s="8"/>
      <c r="P474" s="8"/>
      <c r="Q474" s="8"/>
      <c r="R474" s="8"/>
      <c r="S474" s="8"/>
    </row>
    <row r="475" spans="2:19" ht="18.75" customHeight="1" thickBot="1" x14ac:dyDescent="0.3">
      <c r="B475" s="1237" t="s">
        <v>1104</v>
      </c>
      <c r="C475" s="1237"/>
      <c r="D475" s="1232">
        <v>10</v>
      </c>
      <c r="E475" s="1232"/>
      <c r="F475" s="1232">
        <v>10</v>
      </c>
      <c r="G475" s="1232"/>
      <c r="H475" s="1233">
        <v>10</v>
      </c>
      <c r="I475" s="1233"/>
      <c r="J475" s="1234">
        <v>10</v>
      </c>
      <c r="K475" s="889"/>
      <c r="L475" s="1244">
        <v>10</v>
      </c>
      <c r="M475" s="1244"/>
      <c r="O475" s="8"/>
      <c r="P475" s="8"/>
      <c r="Q475" s="8"/>
      <c r="R475" s="8"/>
      <c r="S475" s="8"/>
    </row>
    <row r="476" spans="2:19" ht="34.5" customHeight="1" thickBot="1" x14ac:dyDescent="0.3">
      <c r="B476" s="1230" t="s">
        <v>1111</v>
      </c>
      <c r="C476" s="1230"/>
      <c r="D476" s="1232" t="s">
        <v>51</v>
      </c>
      <c r="E476" s="1232"/>
      <c r="F476" s="1232" t="s">
        <v>51</v>
      </c>
      <c r="G476" s="1232"/>
      <c r="H476" s="1232" t="s">
        <v>51</v>
      </c>
      <c r="I476" s="1232"/>
      <c r="J476" s="1232" t="s">
        <v>51</v>
      </c>
      <c r="K476" s="1232"/>
      <c r="L476" s="1244" t="s">
        <v>51</v>
      </c>
      <c r="M476" s="1244"/>
      <c r="O476" s="8"/>
      <c r="P476" s="8"/>
      <c r="Q476" s="8"/>
      <c r="R476" s="8"/>
      <c r="S476" s="8"/>
    </row>
    <row r="477" spans="2:19" ht="25.5" customHeight="1" thickBot="1" x14ac:dyDescent="0.3">
      <c r="B477" s="1230" t="s">
        <v>337</v>
      </c>
      <c r="C477" s="1230"/>
      <c r="D477" s="1225">
        <v>10</v>
      </c>
      <c r="E477" s="1225"/>
      <c r="F477" s="1225">
        <v>9.5</v>
      </c>
      <c r="G477" s="1225"/>
      <c r="H477" s="1236">
        <v>9</v>
      </c>
      <c r="I477" s="1236"/>
      <c r="J477" s="1236">
        <v>9</v>
      </c>
      <c r="K477" s="1236"/>
      <c r="L477" s="1313">
        <v>9.25</v>
      </c>
      <c r="M477" s="1313"/>
      <c r="O477" s="8"/>
      <c r="P477" s="8"/>
      <c r="Q477" s="8"/>
      <c r="R477" s="8"/>
      <c r="S477" s="8"/>
    </row>
    <row r="478" spans="2:19" ht="18.75" customHeight="1" thickBot="1" x14ac:dyDescent="0.3">
      <c r="B478" s="1230" t="s">
        <v>270</v>
      </c>
      <c r="C478" s="1230"/>
      <c r="D478" s="1232" t="s">
        <v>51</v>
      </c>
      <c r="E478" s="1232"/>
      <c r="F478" s="1232" t="s">
        <v>51</v>
      </c>
      <c r="G478" s="1232"/>
      <c r="H478" s="1232" t="s">
        <v>51</v>
      </c>
      <c r="I478" s="1232"/>
      <c r="J478" s="1232" t="s">
        <v>51</v>
      </c>
      <c r="K478" s="1232"/>
      <c r="L478" s="1244" t="s">
        <v>51</v>
      </c>
      <c r="M478" s="1244"/>
      <c r="O478" s="8"/>
      <c r="P478" s="8"/>
      <c r="Q478" s="8"/>
      <c r="R478" s="8"/>
      <c r="S478" s="8"/>
    </row>
    <row r="479" spans="2:19" ht="35.25" customHeight="1" thickBot="1" x14ac:dyDescent="0.3">
      <c r="B479" s="1230" t="s">
        <v>466</v>
      </c>
      <c r="C479" s="1230"/>
      <c r="D479" s="1232" t="s">
        <v>51</v>
      </c>
      <c r="E479" s="1232"/>
      <c r="F479" s="1232" t="s">
        <v>51</v>
      </c>
      <c r="G479" s="1232"/>
      <c r="H479" s="1233" t="s">
        <v>51</v>
      </c>
      <c r="I479" s="1233"/>
      <c r="J479" s="1234" t="s">
        <v>51</v>
      </c>
      <c r="K479" s="889"/>
      <c r="L479" s="1244" t="s">
        <v>51</v>
      </c>
      <c r="M479" s="1244"/>
      <c r="O479" s="8"/>
      <c r="P479" s="8"/>
      <c r="Q479" s="8"/>
      <c r="R479" s="8"/>
      <c r="S479" s="8"/>
    </row>
    <row r="480" spans="2:19" ht="18.75" customHeight="1" thickBot="1" x14ac:dyDescent="0.3">
      <c r="B480" s="1230" t="s">
        <v>273</v>
      </c>
      <c r="C480" s="1230"/>
      <c r="D480" s="1225">
        <v>7</v>
      </c>
      <c r="E480" s="1225"/>
      <c r="F480" s="1225">
        <v>8.33</v>
      </c>
      <c r="G480" s="1225"/>
      <c r="H480" s="1236">
        <v>7.67</v>
      </c>
      <c r="I480" s="1236"/>
      <c r="J480" s="1236">
        <v>8.67</v>
      </c>
      <c r="K480" s="1236"/>
      <c r="L480" s="1313">
        <v>8</v>
      </c>
      <c r="M480" s="1313"/>
      <c r="O480" s="8"/>
      <c r="P480" s="8"/>
      <c r="Q480" s="8"/>
      <c r="R480" s="8"/>
      <c r="S480" s="8"/>
    </row>
    <row r="481" spans="2:34" ht="23.25" customHeight="1" thickBot="1" x14ac:dyDescent="0.3">
      <c r="B481" s="1230" t="s">
        <v>1210</v>
      </c>
      <c r="C481" s="1230"/>
      <c r="D481" s="1232" t="s">
        <v>51</v>
      </c>
      <c r="E481" s="1232"/>
      <c r="F481" s="1232" t="s">
        <v>51</v>
      </c>
      <c r="G481" s="1232"/>
      <c r="H481" s="1233" t="s">
        <v>51</v>
      </c>
      <c r="I481" s="1233"/>
      <c r="J481" s="1234" t="s">
        <v>51</v>
      </c>
      <c r="K481" s="889"/>
      <c r="L481" s="1244" t="s">
        <v>51</v>
      </c>
      <c r="M481" s="1244"/>
      <c r="O481" s="8"/>
      <c r="P481" s="8"/>
      <c r="Q481" s="8"/>
      <c r="R481" s="8"/>
      <c r="S481" s="8"/>
    </row>
    <row r="482" spans="2:34" ht="23.25" customHeight="1" thickBot="1" x14ac:dyDescent="0.3">
      <c r="B482" s="1230" t="s">
        <v>1211</v>
      </c>
      <c r="C482" s="1230"/>
      <c r="D482" s="1225">
        <v>9</v>
      </c>
      <c r="E482" s="1225"/>
      <c r="F482" s="1225">
        <v>9</v>
      </c>
      <c r="G482" s="1225"/>
      <c r="H482" s="1236">
        <v>10</v>
      </c>
      <c r="I482" s="1236"/>
      <c r="J482" s="1236">
        <v>9</v>
      </c>
      <c r="K482" s="1236"/>
      <c r="L482" s="1313">
        <v>9</v>
      </c>
      <c r="M482" s="1313"/>
      <c r="O482" s="8"/>
      <c r="P482" s="8"/>
      <c r="Q482" s="8"/>
      <c r="R482" s="8"/>
      <c r="S482" s="8"/>
    </row>
    <row r="483" spans="2:34" ht="25.5" customHeight="1" thickBot="1" x14ac:dyDescent="0.3">
      <c r="B483" s="1230" t="s">
        <v>1105</v>
      </c>
      <c r="C483" s="1230"/>
      <c r="D483" s="1232">
        <v>10</v>
      </c>
      <c r="E483" s="1232"/>
      <c r="F483" s="1232">
        <v>10</v>
      </c>
      <c r="G483" s="1232"/>
      <c r="H483" s="1233">
        <v>10</v>
      </c>
      <c r="I483" s="1233"/>
      <c r="J483" s="1234">
        <v>10</v>
      </c>
      <c r="K483" s="889"/>
      <c r="L483" s="1244">
        <v>10</v>
      </c>
      <c r="M483" s="1244"/>
      <c r="O483" s="8"/>
      <c r="P483" s="8"/>
      <c r="Q483" s="8"/>
      <c r="R483" s="8"/>
      <c r="S483" s="8"/>
    </row>
    <row r="484" spans="2:34" ht="18.75" customHeight="1" thickBot="1" x14ac:dyDescent="0.3">
      <c r="B484" s="1230" t="s">
        <v>1106</v>
      </c>
      <c r="C484" s="1230"/>
      <c r="D484" s="1225">
        <v>10</v>
      </c>
      <c r="E484" s="1225"/>
      <c r="F484" s="1225">
        <v>10</v>
      </c>
      <c r="G484" s="1225"/>
      <c r="H484" s="1314">
        <v>10</v>
      </c>
      <c r="I484" s="1314"/>
      <c r="J484" s="1314">
        <v>10</v>
      </c>
      <c r="K484" s="1314"/>
      <c r="L484" s="1313">
        <v>10</v>
      </c>
      <c r="M484" s="1313"/>
      <c r="O484" s="8"/>
      <c r="P484" s="8"/>
      <c r="Q484" s="8"/>
      <c r="R484" s="8"/>
      <c r="S484" s="8"/>
    </row>
    <row r="485" spans="2:34" ht="26.25" customHeight="1" thickBot="1" x14ac:dyDescent="0.3">
      <c r="B485" s="1230" t="s">
        <v>516</v>
      </c>
      <c r="C485" s="1230"/>
      <c r="D485" s="1232" t="s">
        <v>51</v>
      </c>
      <c r="E485" s="1232"/>
      <c r="F485" s="1232" t="s">
        <v>51</v>
      </c>
      <c r="G485" s="1232"/>
      <c r="H485" s="1233" t="s">
        <v>51</v>
      </c>
      <c r="I485" s="1233"/>
      <c r="J485" s="1234" t="s">
        <v>51</v>
      </c>
      <c r="K485" s="889"/>
      <c r="L485" s="1244" t="s">
        <v>51</v>
      </c>
      <c r="M485" s="1244"/>
      <c r="O485" s="8"/>
      <c r="P485" s="8"/>
      <c r="Q485" s="8"/>
      <c r="R485" s="8"/>
      <c r="S485" s="8"/>
    </row>
    <row r="486" spans="2:34" s="2" customFormat="1" ht="23.25" customHeight="1" thickBot="1" x14ac:dyDescent="0.3">
      <c r="B486" s="1143" t="s">
        <v>1391</v>
      </c>
      <c r="C486" s="1143"/>
      <c r="D486" s="1225">
        <v>9.25</v>
      </c>
      <c r="E486" s="1225"/>
      <c r="F486" s="1225">
        <v>8.25</v>
      </c>
      <c r="G486" s="1225"/>
      <c r="H486" s="1236">
        <v>8.75</v>
      </c>
      <c r="I486" s="1236"/>
      <c r="J486" s="1236">
        <v>8</v>
      </c>
      <c r="K486" s="1236"/>
      <c r="L486" s="1313">
        <v>8.5</v>
      </c>
      <c r="M486" s="1313"/>
      <c r="O486" s="8"/>
      <c r="P486" s="8"/>
      <c r="Q486" s="8"/>
      <c r="R486" s="8"/>
      <c r="S486" s="8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</row>
    <row r="487" spans="2:34" ht="23.25" customHeight="1" thickBot="1" x14ac:dyDescent="0.3">
      <c r="B487" s="1230" t="s">
        <v>1094</v>
      </c>
      <c r="C487" s="1230"/>
      <c r="D487" s="1232" t="s">
        <v>51</v>
      </c>
      <c r="E487" s="1232"/>
      <c r="F487" s="1232" t="s">
        <v>51</v>
      </c>
      <c r="G487" s="1232"/>
      <c r="H487" s="1233" t="s">
        <v>51</v>
      </c>
      <c r="I487" s="1233"/>
      <c r="J487" s="1234" t="s">
        <v>51</v>
      </c>
      <c r="K487" s="889"/>
      <c r="L487" s="1244" t="s">
        <v>51</v>
      </c>
      <c r="M487" s="1244"/>
      <c r="O487" s="8"/>
      <c r="P487" s="8"/>
      <c r="Q487" s="8"/>
      <c r="R487" s="8"/>
      <c r="S487" s="8"/>
    </row>
    <row r="488" spans="2:34" ht="18.75" customHeight="1" thickBot="1" x14ac:dyDescent="0.3">
      <c r="B488" s="1230" t="s">
        <v>315</v>
      </c>
      <c r="C488" s="1230"/>
      <c r="D488" s="1232" t="s">
        <v>51</v>
      </c>
      <c r="E488" s="1232"/>
      <c r="F488" s="1232" t="s">
        <v>51</v>
      </c>
      <c r="G488" s="1232"/>
      <c r="H488" s="1233" t="s">
        <v>51</v>
      </c>
      <c r="I488" s="1233"/>
      <c r="J488" s="1234" t="s">
        <v>51</v>
      </c>
      <c r="K488" s="889"/>
      <c r="L488" s="1244" t="s">
        <v>51</v>
      </c>
      <c r="M488" s="1244"/>
      <c r="O488" s="8"/>
      <c r="P488" s="8"/>
      <c r="Q488" s="8"/>
      <c r="R488" s="8"/>
      <c r="S488" s="8"/>
    </row>
    <row r="489" spans="2:34" ht="23.25" customHeight="1" thickBot="1" x14ac:dyDescent="0.3">
      <c r="B489" s="1230" t="s">
        <v>344</v>
      </c>
      <c r="C489" s="1230"/>
      <c r="D489" s="1232">
        <v>8.5</v>
      </c>
      <c r="E489" s="1232"/>
      <c r="F489" s="1232">
        <v>8.5</v>
      </c>
      <c r="G489" s="1232"/>
      <c r="H489" s="1232">
        <v>9.5</v>
      </c>
      <c r="I489" s="1232"/>
      <c r="J489" s="1232">
        <v>8</v>
      </c>
      <c r="K489" s="1232"/>
      <c r="L489" s="1244">
        <v>9</v>
      </c>
      <c r="M489" s="1244"/>
      <c r="O489" s="8"/>
      <c r="P489" s="8"/>
      <c r="Q489" s="8"/>
      <c r="R489" s="8"/>
      <c r="S489" s="8"/>
    </row>
    <row r="490" spans="2:34" ht="23.25" customHeight="1" thickBot="1" x14ac:dyDescent="0.3">
      <c r="B490" s="1230" t="s">
        <v>341</v>
      </c>
      <c r="C490" s="1230"/>
      <c r="D490" s="1232">
        <v>6</v>
      </c>
      <c r="E490" s="1232"/>
      <c r="F490" s="1232">
        <v>6</v>
      </c>
      <c r="G490" s="1232"/>
      <c r="H490" s="1232">
        <v>8</v>
      </c>
      <c r="I490" s="1232"/>
      <c r="J490" s="1232">
        <v>7</v>
      </c>
      <c r="K490" s="1232"/>
      <c r="L490" s="1244">
        <v>8.33</v>
      </c>
      <c r="M490" s="1244"/>
      <c r="O490" s="8"/>
      <c r="P490" s="8"/>
      <c r="Q490" s="8"/>
      <c r="R490" s="8"/>
      <c r="S490" s="8"/>
    </row>
    <row r="491" spans="2:34" ht="23.25" customHeight="1" thickBot="1" x14ac:dyDescent="0.3">
      <c r="B491" s="1230" t="s">
        <v>352</v>
      </c>
      <c r="C491" s="1230"/>
      <c r="D491" s="1232">
        <v>8.75</v>
      </c>
      <c r="E491" s="1232"/>
      <c r="F491" s="1232">
        <v>8.75</v>
      </c>
      <c r="G491" s="1232"/>
      <c r="H491" s="1232">
        <v>9.25</v>
      </c>
      <c r="I491" s="1232"/>
      <c r="J491" s="1232">
        <v>8.5</v>
      </c>
      <c r="K491" s="1232"/>
      <c r="L491" s="1244">
        <v>9</v>
      </c>
      <c r="M491" s="1244"/>
      <c r="O491" s="8"/>
      <c r="P491" s="8"/>
      <c r="Q491" s="8"/>
      <c r="R491" s="8"/>
      <c r="S491" s="8"/>
    </row>
    <row r="492" spans="2:34" ht="18.75" customHeight="1" thickBot="1" x14ac:dyDescent="0.3">
      <c r="B492" s="1230" t="s">
        <v>602</v>
      </c>
      <c r="C492" s="1230"/>
      <c r="D492" s="1232" t="s">
        <v>51</v>
      </c>
      <c r="E492" s="1232"/>
      <c r="F492" s="1232" t="s">
        <v>51</v>
      </c>
      <c r="G492" s="1232"/>
      <c r="H492" s="1233" t="s">
        <v>51</v>
      </c>
      <c r="I492" s="1233"/>
      <c r="J492" s="1234" t="s">
        <v>51</v>
      </c>
      <c r="K492" s="889"/>
      <c r="L492" s="1244" t="s">
        <v>51</v>
      </c>
      <c r="M492" s="1244"/>
      <c r="O492" s="8"/>
      <c r="P492" s="8"/>
      <c r="Q492" s="8"/>
      <c r="R492" s="8"/>
      <c r="S492" s="8"/>
    </row>
    <row r="493" spans="2:34" ht="18.75" customHeight="1" thickBot="1" x14ac:dyDescent="0.3">
      <c r="B493" s="1230" t="s">
        <v>893</v>
      </c>
      <c r="C493" s="1230"/>
      <c r="D493" s="1232">
        <v>8.7100000000000009</v>
      </c>
      <c r="E493" s="1232"/>
      <c r="F493" s="1232">
        <v>8.7100000000000009</v>
      </c>
      <c r="G493" s="1232"/>
      <c r="H493" s="1233">
        <v>9</v>
      </c>
      <c r="I493" s="1233"/>
      <c r="J493" s="1234">
        <v>8.57</v>
      </c>
      <c r="K493" s="889"/>
      <c r="L493" s="1244">
        <v>8.7100000000000009</v>
      </c>
      <c r="M493" s="1244"/>
      <c r="O493" s="8"/>
      <c r="P493" s="8"/>
      <c r="Q493" s="8"/>
      <c r="R493" s="8"/>
      <c r="S493" s="8"/>
    </row>
    <row r="494" spans="2:34" ht="35.25" customHeight="1" thickBot="1" x14ac:dyDescent="0.3">
      <c r="B494" s="1230" t="s">
        <v>1107</v>
      </c>
      <c r="C494" s="1230"/>
      <c r="D494" s="1232">
        <v>7.33</v>
      </c>
      <c r="E494" s="1232"/>
      <c r="F494" s="1232">
        <v>7.33</v>
      </c>
      <c r="G494" s="1232"/>
      <c r="H494" s="1232">
        <v>8</v>
      </c>
      <c r="I494" s="1232"/>
      <c r="J494" s="1232">
        <v>7.33</v>
      </c>
      <c r="K494" s="1232"/>
      <c r="L494" s="1244">
        <v>7.33</v>
      </c>
      <c r="M494" s="1244"/>
      <c r="O494" s="8"/>
      <c r="P494" s="8"/>
      <c r="Q494" s="8"/>
      <c r="R494" s="8"/>
      <c r="S494" s="8"/>
    </row>
    <row r="495" spans="2:34" ht="27.75" customHeight="1" thickBot="1" x14ac:dyDescent="0.3">
      <c r="B495" s="1143" t="s">
        <v>268</v>
      </c>
      <c r="C495" s="1143"/>
      <c r="D495" s="1232">
        <v>10</v>
      </c>
      <c r="E495" s="1232"/>
      <c r="F495" s="1232">
        <v>10</v>
      </c>
      <c r="G495" s="1232"/>
      <c r="H495" s="1232">
        <v>9.5</v>
      </c>
      <c r="I495" s="1232"/>
      <c r="J495" s="1232">
        <v>10</v>
      </c>
      <c r="K495" s="1232"/>
      <c r="L495" s="1244">
        <v>10</v>
      </c>
      <c r="M495" s="1244"/>
      <c r="O495" s="8"/>
      <c r="P495" s="8"/>
      <c r="Q495" s="8"/>
      <c r="R495" s="8"/>
      <c r="S495" s="8"/>
    </row>
    <row r="496" spans="2:34" ht="25.5" customHeight="1" thickBot="1" x14ac:dyDescent="0.3">
      <c r="B496" s="1143" t="s">
        <v>453</v>
      </c>
      <c r="C496" s="1143"/>
      <c r="D496" s="1225">
        <v>8</v>
      </c>
      <c r="E496" s="1225"/>
      <c r="F496" s="1225">
        <v>6</v>
      </c>
      <c r="G496" s="1225"/>
      <c r="H496" s="1225">
        <v>8</v>
      </c>
      <c r="I496" s="1225"/>
      <c r="J496" s="1225">
        <v>4</v>
      </c>
      <c r="K496" s="1225"/>
      <c r="L496" s="1313">
        <v>7</v>
      </c>
      <c r="M496" s="1313"/>
      <c r="O496" s="8"/>
      <c r="P496" s="8"/>
      <c r="Q496" s="8"/>
      <c r="R496" s="8"/>
      <c r="S496" s="8"/>
    </row>
    <row r="497" spans="2:19" ht="35.25" customHeight="1" thickBot="1" x14ac:dyDescent="0.3">
      <c r="B497" s="1230" t="s">
        <v>589</v>
      </c>
      <c r="C497" s="1230"/>
      <c r="D497" s="1225">
        <v>9</v>
      </c>
      <c r="E497" s="1225"/>
      <c r="F497" s="1225">
        <v>10</v>
      </c>
      <c r="G497" s="1225"/>
      <c r="H497" s="1236">
        <v>10</v>
      </c>
      <c r="I497" s="1236"/>
      <c r="J497" s="1236">
        <v>10</v>
      </c>
      <c r="K497" s="1236"/>
      <c r="L497" s="1313">
        <v>10</v>
      </c>
      <c r="M497" s="1313"/>
      <c r="O497" s="8"/>
      <c r="P497" s="8"/>
      <c r="Q497" s="8"/>
      <c r="R497" s="8"/>
      <c r="S497" s="8"/>
    </row>
    <row r="498" spans="2:19" ht="24" customHeight="1" thickBot="1" x14ac:dyDescent="0.3">
      <c r="B498" s="1230" t="s">
        <v>282</v>
      </c>
      <c r="C498" s="1230"/>
      <c r="D498" s="1232" t="s">
        <v>51</v>
      </c>
      <c r="E498" s="1232"/>
      <c r="F498" s="1232" t="s">
        <v>51</v>
      </c>
      <c r="G498" s="1232"/>
      <c r="H498" s="1233" t="s">
        <v>51</v>
      </c>
      <c r="I498" s="1233"/>
      <c r="J498" s="1234" t="s">
        <v>51</v>
      </c>
      <c r="K498" s="889"/>
      <c r="L498" s="1244" t="s">
        <v>51</v>
      </c>
      <c r="M498" s="1244"/>
      <c r="O498" s="8"/>
      <c r="P498" s="8"/>
      <c r="Q498" s="8"/>
      <c r="R498" s="8"/>
      <c r="S498" s="8"/>
    </row>
    <row r="499" spans="2:19" ht="18.75" customHeight="1" thickBot="1" x14ac:dyDescent="0.3">
      <c r="B499" s="1230" t="s">
        <v>359</v>
      </c>
      <c r="C499" s="1230"/>
      <c r="D499" s="1232">
        <v>8</v>
      </c>
      <c r="E499" s="1232"/>
      <c r="F499" s="1232">
        <v>9</v>
      </c>
      <c r="G499" s="1232"/>
      <c r="H499" s="1232">
        <v>9</v>
      </c>
      <c r="I499" s="1232"/>
      <c r="J499" s="1232">
        <v>8</v>
      </c>
      <c r="K499" s="1232"/>
      <c r="L499" s="1244">
        <v>9</v>
      </c>
      <c r="M499" s="1244"/>
      <c r="O499" s="8"/>
      <c r="P499" s="8"/>
      <c r="Q499" s="8"/>
      <c r="R499" s="8"/>
      <c r="S499" s="8"/>
    </row>
    <row r="500" spans="2:19" ht="27" customHeight="1" thickBot="1" x14ac:dyDescent="0.3">
      <c r="B500" s="1230" t="s">
        <v>600</v>
      </c>
      <c r="C500" s="1230"/>
      <c r="D500" s="1232">
        <v>7</v>
      </c>
      <c r="E500" s="1232"/>
      <c r="F500" s="1232">
        <v>8</v>
      </c>
      <c r="G500" s="1232"/>
      <c r="H500" s="1233">
        <v>8</v>
      </c>
      <c r="I500" s="1233"/>
      <c r="J500" s="1234">
        <v>7</v>
      </c>
      <c r="K500" s="889"/>
      <c r="L500" s="1244">
        <v>10</v>
      </c>
      <c r="M500" s="1244"/>
      <c r="O500" s="8"/>
      <c r="P500" s="8"/>
      <c r="Q500" s="8"/>
      <c r="R500" s="8"/>
      <c r="S500" s="8"/>
    </row>
    <row r="501" spans="2:19" ht="18.75" customHeight="1" thickBot="1" x14ac:dyDescent="0.3">
      <c r="B501" s="1230" t="s">
        <v>330</v>
      </c>
      <c r="C501" s="1230"/>
      <c r="D501" s="1232" t="s">
        <v>51</v>
      </c>
      <c r="E501" s="1232"/>
      <c r="F501" s="1232" t="s">
        <v>51</v>
      </c>
      <c r="G501" s="1232"/>
      <c r="H501" s="1233" t="s">
        <v>51</v>
      </c>
      <c r="I501" s="1233"/>
      <c r="J501" s="1234" t="s">
        <v>51</v>
      </c>
      <c r="K501" s="889"/>
      <c r="L501" s="1244" t="s">
        <v>51</v>
      </c>
      <c r="M501" s="1244"/>
      <c r="O501" s="8"/>
      <c r="P501" s="8"/>
      <c r="Q501" s="8"/>
      <c r="R501" s="8"/>
      <c r="S501" s="8"/>
    </row>
    <row r="502" spans="2:19" ht="25.5" customHeight="1" thickBot="1" x14ac:dyDescent="0.3">
      <c r="B502" s="1230" t="s">
        <v>1112</v>
      </c>
      <c r="C502" s="1230"/>
      <c r="D502" s="1232" t="s">
        <v>51</v>
      </c>
      <c r="E502" s="1232"/>
      <c r="F502" s="1232" t="s">
        <v>51</v>
      </c>
      <c r="G502" s="1232"/>
      <c r="H502" s="1233" t="s">
        <v>51</v>
      </c>
      <c r="I502" s="1233"/>
      <c r="J502" s="1234" t="s">
        <v>51</v>
      </c>
      <c r="K502" s="889"/>
      <c r="L502" s="1244" t="s">
        <v>51</v>
      </c>
      <c r="M502" s="1244"/>
      <c r="O502" s="8"/>
      <c r="P502" s="8"/>
      <c r="Q502" s="8"/>
      <c r="R502" s="8"/>
      <c r="S502" s="8"/>
    </row>
    <row r="503" spans="2:19" ht="18.75" customHeight="1" thickBot="1" x14ac:dyDescent="0.3">
      <c r="B503" s="1230" t="s">
        <v>280</v>
      </c>
      <c r="C503" s="1230"/>
      <c r="D503" s="1232" t="s">
        <v>51</v>
      </c>
      <c r="E503" s="1232"/>
      <c r="F503" s="1232" t="s">
        <v>51</v>
      </c>
      <c r="G503" s="1232"/>
      <c r="H503" s="1233" t="s">
        <v>51</v>
      </c>
      <c r="I503" s="1233"/>
      <c r="J503" s="1234" t="s">
        <v>51</v>
      </c>
      <c r="K503" s="889"/>
      <c r="L503" s="1244" t="s">
        <v>51</v>
      </c>
      <c r="M503" s="1244"/>
      <c r="O503" s="8"/>
      <c r="P503" s="8"/>
      <c r="Q503" s="8"/>
      <c r="R503" s="8"/>
      <c r="S503" s="8"/>
    </row>
    <row r="504" spans="2:19" ht="25.5" customHeight="1" thickBot="1" x14ac:dyDescent="0.3">
      <c r="B504" s="1230" t="s">
        <v>1212</v>
      </c>
      <c r="C504" s="1230"/>
      <c r="D504" s="1225">
        <v>9</v>
      </c>
      <c r="E504" s="1225"/>
      <c r="F504" s="1225">
        <v>9</v>
      </c>
      <c r="G504" s="1225"/>
      <c r="H504" s="1236">
        <v>9</v>
      </c>
      <c r="I504" s="1236"/>
      <c r="J504" s="1236">
        <v>9</v>
      </c>
      <c r="K504" s="1236"/>
      <c r="L504" s="1249">
        <v>7</v>
      </c>
      <c r="M504" s="1249"/>
      <c r="O504" s="8"/>
      <c r="P504" s="8"/>
      <c r="Q504" s="8"/>
      <c r="R504" s="8"/>
      <c r="S504" s="8"/>
    </row>
    <row r="505" spans="2:19" ht="24.75" customHeight="1" thickBot="1" x14ac:dyDescent="0.3">
      <c r="B505" s="1230" t="s">
        <v>1108</v>
      </c>
      <c r="C505" s="1230"/>
      <c r="D505" s="1232">
        <v>9.6</v>
      </c>
      <c r="E505" s="1232"/>
      <c r="F505" s="1232">
        <v>9.5</v>
      </c>
      <c r="G505" s="1232"/>
      <c r="H505" s="1233">
        <v>9.6</v>
      </c>
      <c r="I505" s="1233"/>
      <c r="J505" s="1234">
        <v>9.5</v>
      </c>
      <c r="K505" s="889"/>
      <c r="L505" s="1244">
        <v>9.5</v>
      </c>
      <c r="M505" s="1244"/>
      <c r="O505" s="8"/>
      <c r="P505" s="8"/>
      <c r="Q505" s="8"/>
      <c r="R505" s="8"/>
      <c r="S505" s="8"/>
    </row>
    <row r="506" spans="2:19" ht="24.75" customHeight="1" thickBot="1" x14ac:dyDescent="0.3">
      <c r="B506" s="1230" t="s">
        <v>1209</v>
      </c>
      <c r="C506" s="1230"/>
      <c r="D506" s="1232" t="s">
        <v>51</v>
      </c>
      <c r="E506" s="1232"/>
      <c r="F506" s="1232" t="s">
        <v>51</v>
      </c>
      <c r="G506" s="1232"/>
      <c r="H506" s="1233" t="s">
        <v>51</v>
      </c>
      <c r="I506" s="1233"/>
      <c r="J506" s="1234" t="s">
        <v>51</v>
      </c>
      <c r="K506" s="889"/>
      <c r="L506" s="1244" t="s">
        <v>51</v>
      </c>
      <c r="M506" s="1244"/>
      <c r="O506" s="8"/>
      <c r="P506" s="8"/>
      <c r="Q506" s="8"/>
      <c r="R506" s="8"/>
      <c r="S506" s="8"/>
    </row>
    <row r="507" spans="2:19" ht="35.25" customHeight="1" thickBot="1" x14ac:dyDescent="0.3">
      <c r="B507" s="1230" t="s">
        <v>1110</v>
      </c>
      <c r="C507" s="1230"/>
      <c r="D507" s="1232" t="s">
        <v>51</v>
      </c>
      <c r="E507" s="1232"/>
      <c r="F507" s="1232" t="s">
        <v>51</v>
      </c>
      <c r="G507" s="1232"/>
      <c r="H507" s="1233" t="s">
        <v>51</v>
      </c>
      <c r="I507" s="1233"/>
      <c r="J507" s="1234" t="s">
        <v>51</v>
      </c>
      <c r="K507" s="889"/>
      <c r="L507" s="1244" t="s">
        <v>51</v>
      </c>
      <c r="M507" s="1244"/>
      <c r="O507" s="8"/>
      <c r="P507" s="8"/>
      <c r="Q507" s="8"/>
      <c r="R507" s="8"/>
      <c r="S507" s="8"/>
    </row>
    <row r="508" spans="2:19" ht="25.5" customHeight="1" thickBot="1" x14ac:dyDescent="0.3">
      <c r="B508" s="1230" t="s">
        <v>1109</v>
      </c>
      <c r="C508" s="1230"/>
      <c r="D508" s="1232">
        <v>10</v>
      </c>
      <c r="E508" s="1232"/>
      <c r="F508" s="1232">
        <v>9.75</v>
      </c>
      <c r="G508" s="1232"/>
      <c r="H508" s="1233">
        <v>10</v>
      </c>
      <c r="I508" s="1233"/>
      <c r="J508" s="1234">
        <v>9.5</v>
      </c>
      <c r="K508" s="889"/>
      <c r="L508" s="1244">
        <v>10</v>
      </c>
      <c r="M508" s="1244"/>
      <c r="O508" s="8"/>
      <c r="P508" s="8"/>
      <c r="Q508" s="8"/>
      <c r="R508" s="8"/>
      <c r="S508" s="8"/>
    </row>
    <row r="509" spans="2:19" ht="18.75" customHeight="1" thickBot="1" x14ac:dyDescent="0.3">
      <c r="B509" s="1230" t="s">
        <v>894</v>
      </c>
      <c r="C509" s="1230"/>
      <c r="D509" s="1232" t="s">
        <v>51</v>
      </c>
      <c r="E509" s="1232"/>
      <c r="F509" s="1232" t="s">
        <v>51</v>
      </c>
      <c r="G509" s="1232"/>
      <c r="H509" s="1233" t="s">
        <v>51</v>
      </c>
      <c r="I509" s="1233"/>
      <c r="J509" s="1234" t="s">
        <v>51</v>
      </c>
      <c r="K509" s="889"/>
      <c r="L509" s="1244" t="s">
        <v>51</v>
      </c>
      <c r="M509" s="1244"/>
      <c r="O509" s="8"/>
      <c r="P509" s="8"/>
      <c r="Q509" s="8"/>
      <c r="R509" s="8"/>
      <c r="S509" s="8"/>
    </row>
    <row r="510" spans="2:19" ht="25.5" customHeight="1" thickBot="1" x14ac:dyDescent="0.3">
      <c r="B510" s="1230" t="s">
        <v>1251</v>
      </c>
      <c r="C510" s="1230"/>
      <c r="D510" s="1232">
        <v>9</v>
      </c>
      <c r="E510" s="1232"/>
      <c r="F510" s="1232">
        <v>7.5</v>
      </c>
      <c r="G510" s="1232"/>
      <c r="H510" s="1233">
        <v>10</v>
      </c>
      <c r="I510" s="1233"/>
      <c r="J510" s="1234">
        <v>9</v>
      </c>
      <c r="K510" s="889"/>
      <c r="L510" s="1244">
        <v>9</v>
      </c>
      <c r="M510" s="1244"/>
      <c r="O510" s="8"/>
      <c r="P510" s="8"/>
      <c r="Q510" s="8"/>
      <c r="R510" s="8"/>
      <c r="S510" s="8"/>
    </row>
    <row r="511" spans="2:19" ht="36" customHeight="1" thickBot="1" x14ac:dyDescent="0.3">
      <c r="B511" s="1230" t="s">
        <v>1113</v>
      </c>
      <c r="C511" s="1230"/>
      <c r="D511" s="1232" t="s">
        <v>51</v>
      </c>
      <c r="E511" s="1232"/>
      <c r="F511" s="1232" t="s">
        <v>51</v>
      </c>
      <c r="G511" s="1232"/>
      <c r="H511" s="1233" t="s">
        <v>51</v>
      </c>
      <c r="I511" s="1233"/>
      <c r="J511" s="1234" t="s">
        <v>51</v>
      </c>
      <c r="K511" s="889"/>
      <c r="L511" s="1244" t="s">
        <v>51</v>
      </c>
      <c r="M511" s="1244"/>
      <c r="O511" s="8"/>
      <c r="P511" s="8"/>
      <c r="Q511" s="8"/>
      <c r="R511" s="8"/>
      <c r="S511" s="8"/>
    </row>
    <row r="512" spans="2:19" ht="18.75" customHeight="1" thickBot="1" x14ac:dyDescent="0.3">
      <c r="B512" s="1230" t="s">
        <v>277</v>
      </c>
      <c r="C512" s="1230"/>
      <c r="D512" s="1232" t="s">
        <v>51</v>
      </c>
      <c r="E512" s="1232"/>
      <c r="F512" s="1232" t="s">
        <v>51</v>
      </c>
      <c r="G512" s="1232"/>
      <c r="H512" s="1233" t="s">
        <v>51</v>
      </c>
      <c r="I512" s="1233"/>
      <c r="J512" s="1234" t="s">
        <v>51</v>
      </c>
      <c r="K512" s="889"/>
      <c r="L512" s="1244" t="s">
        <v>51</v>
      </c>
      <c r="M512" s="1244"/>
      <c r="O512" s="8"/>
      <c r="P512" s="8"/>
      <c r="Q512" s="8"/>
      <c r="R512" s="8"/>
      <c r="S512" s="8"/>
    </row>
    <row r="513" spans="1:19" ht="21.75" customHeight="1" thickBot="1" x14ac:dyDescent="0.3">
      <c r="B513" s="1230" t="s">
        <v>278</v>
      </c>
      <c r="C513" s="1230"/>
      <c r="D513" s="1232">
        <v>10</v>
      </c>
      <c r="E513" s="1232"/>
      <c r="F513" s="1232">
        <v>8</v>
      </c>
      <c r="G513" s="1232"/>
      <c r="H513" s="1232">
        <v>9</v>
      </c>
      <c r="I513" s="1232"/>
      <c r="J513" s="1232">
        <v>10</v>
      </c>
      <c r="K513" s="1232"/>
      <c r="L513" s="1244">
        <v>10</v>
      </c>
      <c r="M513" s="1244"/>
      <c r="O513" s="8"/>
      <c r="P513" s="8"/>
      <c r="Q513" s="8"/>
      <c r="R513" s="8"/>
      <c r="S513" s="8"/>
    </row>
    <row r="514" spans="1:19" ht="18.75" customHeight="1" thickBot="1" x14ac:dyDescent="0.3">
      <c r="B514" s="1230" t="s">
        <v>326</v>
      </c>
      <c r="C514" s="1230"/>
      <c r="D514" s="1232" t="s">
        <v>51</v>
      </c>
      <c r="E514" s="1232"/>
      <c r="F514" s="1232" t="s">
        <v>51</v>
      </c>
      <c r="G514" s="1232"/>
      <c r="H514" s="1233" t="s">
        <v>51</v>
      </c>
      <c r="I514" s="1233"/>
      <c r="J514" s="1234" t="s">
        <v>51</v>
      </c>
      <c r="K514" s="889"/>
      <c r="L514" s="1244" t="s">
        <v>51</v>
      </c>
      <c r="M514" s="1244"/>
      <c r="O514" s="8"/>
      <c r="P514" s="8"/>
      <c r="Q514" s="8"/>
      <c r="R514" s="8"/>
      <c r="S514" s="8"/>
    </row>
    <row r="515" spans="1:19" ht="20.25" customHeight="1" thickBot="1" x14ac:dyDescent="0.3">
      <c r="B515" s="1269" t="s">
        <v>519</v>
      </c>
      <c r="C515" s="1269"/>
      <c r="D515" s="1316">
        <f>AVERAGE(D473:E514)</f>
        <v>8.8321739130434782</v>
      </c>
      <c r="E515" s="1316"/>
      <c r="F515" s="1316">
        <f>AVERAGE(F473:G514)</f>
        <v>8.6573913043478257</v>
      </c>
      <c r="G515" s="1316"/>
      <c r="H515" s="1316">
        <f>AVERAGE(H473:I514)</f>
        <v>9.1421739130434787</v>
      </c>
      <c r="I515" s="1316"/>
      <c r="J515" s="1316">
        <f>AVERAGE(J473:K514)</f>
        <v>8.611739130434783</v>
      </c>
      <c r="K515" s="1316"/>
      <c r="L515" s="1316">
        <f>AVERAGE(L473:M514)</f>
        <v>8.9834782608695658</v>
      </c>
      <c r="M515" s="1316"/>
      <c r="O515" s="8"/>
      <c r="P515" s="8"/>
      <c r="Q515" s="8"/>
      <c r="R515" s="8"/>
      <c r="S515" s="8"/>
    </row>
    <row r="516" spans="1:19" x14ac:dyDescent="0.25">
      <c r="B516" s="1013" t="s">
        <v>1922</v>
      </c>
      <c r="C516" s="1013"/>
      <c r="K516" s="8"/>
      <c r="L516" s="8"/>
      <c r="M516" s="8"/>
    </row>
    <row r="517" spans="1:19" x14ac:dyDescent="0.25">
      <c r="B517" s="41" t="s">
        <v>757</v>
      </c>
    </row>
    <row r="518" spans="1:19" x14ac:dyDescent="0.25">
      <c r="B518" s="41"/>
    </row>
    <row r="519" spans="1:19" x14ac:dyDescent="0.25">
      <c r="B519" s="41"/>
    </row>
    <row r="520" spans="1:19" x14ac:dyDescent="0.25">
      <c r="B520" s="662" t="s">
        <v>1921</v>
      </c>
      <c r="C520" s="661"/>
      <c r="D520" s="661"/>
      <c r="E520" s="661"/>
      <c r="F520" s="683"/>
      <c r="G520" s="661"/>
      <c r="H520" s="661"/>
      <c r="I520" s="518"/>
      <c r="J520" s="682"/>
    </row>
    <row r="521" spans="1:19" x14ac:dyDescent="0.25">
      <c r="B521" s="828" t="s">
        <v>2</v>
      </c>
      <c r="C521" s="828"/>
      <c r="D521" s="470" t="s">
        <v>424</v>
      </c>
      <c r="E521" s="470" t="s">
        <v>304</v>
      </c>
      <c r="F521" s="470" t="s">
        <v>422</v>
      </c>
    </row>
    <row r="522" spans="1:19" ht="15.75" customHeight="1" thickBot="1" x14ac:dyDescent="0.3">
      <c r="A522" s="1276"/>
      <c r="B522" s="1193" t="s">
        <v>7</v>
      </c>
      <c r="C522" s="1193"/>
      <c r="D522" s="533">
        <v>19</v>
      </c>
      <c r="E522" s="533">
        <v>8</v>
      </c>
      <c r="F522" s="534">
        <v>0.42099999999999999</v>
      </c>
    </row>
    <row r="523" spans="1:19" ht="15.75" customHeight="1" thickBot="1" x14ac:dyDescent="0.3">
      <c r="A523" s="1276"/>
      <c r="B523" s="1254" t="s">
        <v>8</v>
      </c>
      <c r="C523" s="1254"/>
      <c r="D523" s="535">
        <v>32</v>
      </c>
      <c r="E523" s="535">
        <v>9</v>
      </c>
      <c r="F523" s="536">
        <v>0.25</v>
      </c>
    </row>
    <row r="524" spans="1:19" x14ac:dyDescent="0.25">
      <c r="B524" s="37"/>
    </row>
    <row r="525" spans="1:19" ht="15" customHeight="1" x14ac:dyDescent="0.25">
      <c r="G525" s="1158" t="s">
        <v>423</v>
      </c>
      <c r="H525" s="1158"/>
      <c r="I525" s="1158"/>
      <c r="J525" s="1158"/>
    </row>
    <row r="526" spans="1:19" ht="15" customHeight="1" x14ac:dyDescent="0.25">
      <c r="B526" s="1158" t="s">
        <v>413</v>
      </c>
      <c r="C526" s="1158"/>
      <c r="D526" s="1158" t="s">
        <v>31</v>
      </c>
      <c r="E526" s="1158"/>
      <c r="F526" s="1158"/>
      <c r="G526" s="1241" t="s">
        <v>884</v>
      </c>
      <c r="H526" s="1241"/>
      <c r="I526" s="1241" t="s">
        <v>430</v>
      </c>
      <c r="J526" s="1241"/>
    </row>
    <row r="527" spans="1:19" ht="38.25" customHeight="1" thickBot="1" x14ac:dyDescent="0.3">
      <c r="B527" s="1285" t="s">
        <v>639</v>
      </c>
      <c r="C527" s="1285"/>
      <c r="D527" s="1206" t="s">
        <v>770</v>
      </c>
      <c r="E527" s="1206"/>
      <c r="F527" s="1206"/>
      <c r="G527" s="1242">
        <v>7.5</v>
      </c>
      <c r="H527" s="1242"/>
      <c r="I527" s="1242">
        <v>7.3</v>
      </c>
      <c r="J527" s="1242"/>
    </row>
    <row r="528" spans="1:19" ht="44.25" customHeight="1" thickBot="1" x14ac:dyDescent="0.3">
      <c r="B528" s="1281"/>
      <c r="C528" s="1281"/>
      <c r="D528" s="1085" t="s">
        <v>771</v>
      </c>
      <c r="E528" s="1085"/>
      <c r="F528" s="1085"/>
      <c r="G528" s="1225">
        <v>6.8</v>
      </c>
      <c r="H528" s="1225"/>
      <c r="I528" s="1225">
        <v>6.2</v>
      </c>
      <c r="J528" s="1225"/>
    </row>
    <row r="529" spans="2:10" ht="42" customHeight="1" thickBot="1" x14ac:dyDescent="0.3">
      <c r="B529" s="1281"/>
      <c r="C529" s="1281"/>
      <c r="D529" s="1085" t="s">
        <v>758</v>
      </c>
      <c r="E529" s="1085"/>
      <c r="F529" s="1085"/>
      <c r="G529" s="1225">
        <v>7.1</v>
      </c>
      <c r="H529" s="1225"/>
      <c r="I529" s="1225">
        <v>5.6</v>
      </c>
      <c r="J529" s="1225"/>
    </row>
    <row r="530" spans="2:10" ht="24.75" customHeight="1" thickBot="1" x14ac:dyDescent="0.3">
      <c r="B530" s="1281"/>
      <c r="C530" s="1281"/>
      <c r="D530" s="1085" t="s">
        <v>759</v>
      </c>
      <c r="E530" s="1085"/>
      <c r="F530" s="1085"/>
      <c r="G530" s="1225">
        <v>6.9</v>
      </c>
      <c r="H530" s="1225"/>
      <c r="I530" s="1225">
        <v>7.2</v>
      </c>
      <c r="J530" s="1225"/>
    </row>
    <row r="531" spans="2:10" ht="37.5" customHeight="1" thickBot="1" x14ac:dyDescent="0.3">
      <c r="B531" s="1281"/>
      <c r="C531" s="1281"/>
      <c r="D531" s="1085" t="s">
        <v>760</v>
      </c>
      <c r="E531" s="1085"/>
      <c r="F531" s="1085"/>
      <c r="G531" s="1225">
        <v>6.8</v>
      </c>
      <c r="H531" s="1225"/>
      <c r="I531" s="1225">
        <v>6.7</v>
      </c>
      <c r="J531" s="1225"/>
    </row>
    <row r="532" spans="2:10" ht="36" customHeight="1" thickBot="1" x14ac:dyDescent="0.3">
      <c r="B532" s="1281"/>
      <c r="C532" s="1281"/>
      <c r="D532" s="1085" t="s">
        <v>761</v>
      </c>
      <c r="E532" s="1085"/>
      <c r="F532" s="1085"/>
      <c r="G532" s="1225">
        <v>6.1</v>
      </c>
      <c r="H532" s="1225"/>
      <c r="I532" s="1225">
        <v>6.2</v>
      </c>
      <c r="J532" s="1225"/>
    </row>
    <row r="533" spans="2:10" ht="35.25" customHeight="1" thickBot="1" x14ac:dyDescent="0.3">
      <c r="B533" s="1281"/>
      <c r="C533" s="1281"/>
      <c r="D533" s="1085" t="s">
        <v>763</v>
      </c>
      <c r="E533" s="1085"/>
      <c r="F533" s="1085"/>
      <c r="G533" s="1225">
        <v>6.3</v>
      </c>
      <c r="H533" s="1225"/>
      <c r="I533" s="1225">
        <v>5.0999999999999996</v>
      </c>
      <c r="J533" s="1225"/>
    </row>
    <row r="534" spans="2:10" ht="45" customHeight="1" thickBot="1" x14ac:dyDescent="0.3">
      <c r="B534" s="1317" t="s">
        <v>1205</v>
      </c>
      <c r="C534" s="1317"/>
      <c r="D534" s="1245" t="s">
        <v>765</v>
      </c>
      <c r="E534" s="1245"/>
      <c r="F534" s="1245"/>
      <c r="G534" s="1231">
        <v>6.9</v>
      </c>
      <c r="H534" s="1231"/>
      <c r="I534" s="1231">
        <v>4.7</v>
      </c>
      <c r="J534" s="1231"/>
    </row>
    <row r="535" spans="2:10" ht="45.75" customHeight="1" thickBot="1" x14ac:dyDescent="0.3">
      <c r="B535" s="1318"/>
      <c r="C535" s="1318"/>
      <c r="D535" s="1085" t="s">
        <v>766</v>
      </c>
      <c r="E535" s="1085"/>
      <c r="F535" s="1085"/>
      <c r="G535" s="1225">
        <v>5.9</v>
      </c>
      <c r="H535" s="1225"/>
      <c r="I535" s="1225">
        <v>5.7</v>
      </c>
      <c r="J535" s="1225"/>
    </row>
    <row r="536" spans="2:10" ht="63" customHeight="1" thickBot="1" x14ac:dyDescent="0.3">
      <c r="B536" s="1318"/>
      <c r="C536" s="1318"/>
      <c r="D536" s="1085" t="s">
        <v>767</v>
      </c>
      <c r="E536" s="1085"/>
      <c r="F536" s="1085"/>
      <c r="G536" s="1225">
        <v>7.1</v>
      </c>
      <c r="H536" s="1225"/>
      <c r="I536" s="1225">
        <v>6.5</v>
      </c>
      <c r="J536" s="1225"/>
    </row>
    <row r="537" spans="2:10" ht="35.25" customHeight="1" thickBot="1" x14ac:dyDescent="0.3">
      <c r="B537" s="1318"/>
      <c r="C537" s="1318"/>
      <c r="D537" s="1085" t="s">
        <v>768</v>
      </c>
      <c r="E537" s="1085"/>
      <c r="F537" s="1085"/>
      <c r="G537" s="1225">
        <v>6.8</v>
      </c>
      <c r="H537" s="1225"/>
      <c r="I537" s="1225">
        <v>6.2</v>
      </c>
      <c r="J537" s="1225"/>
    </row>
    <row r="538" spans="2:10" ht="32.25" customHeight="1" thickBot="1" x14ac:dyDescent="0.3">
      <c r="B538" s="1318"/>
      <c r="C538" s="1318"/>
      <c r="D538" s="1085" t="s">
        <v>769</v>
      </c>
      <c r="E538" s="1085"/>
      <c r="F538" s="1085"/>
      <c r="G538" s="1225">
        <v>7.1</v>
      </c>
      <c r="H538" s="1225"/>
      <c r="I538" s="1225">
        <v>6.7</v>
      </c>
      <c r="J538" s="1225"/>
    </row>
    <row r="539" spans="2:10" ht="35.25" customHeight="1" thickBot="1" x14ac:dyDescent="0.3">
      <c r="B539" s="1319"/>
      <c r="C539" s="1319"/>
      <c r="D539" s="1320" t="s">
        <v>764</v>
      </c>
      <c r="E539" s="1320"/>
      <c r="F539" s="1320"/>
      <c r="G539" s="1238">
        <v>7.2</v>
      </c>
      <c r="H539" s="1238"/>
      <c r="I539" s="1238">
        <v>6.4</v>
      </c>
      <c r="J539" s="1238"/>
    </row>
    <row r="540" spans="2:10" ht="43.5" customHeight="1" thickBot="1" x14ac:dyDescent="0.3">
      <c r="B540" s="1280" t="s">
        <v>1204</v>
      </c>
      <c r="C540" s="1280"/>
      <c r="D540" s="1245" t="s">
        <v>1214</v>
      </c>
      <c r="E540" s="1245"/>
      <c r="F540" s="1245"/>
      <c r="G540" s="1231">
        <v>7.2</v>
      </c>
      <c r="H540" s="1231"/>
      <c r="I540" s="1231">
        <v>6.9</v>
      </c>
      <c r="J540" s="1231"/>
    </row>
    <row r="541" spans="2:10" ht="42.75" customHeight="1" thickBot="1" x14ac:dyDescent="0.3">
      <c r="B541" s="1281"/>
      <c r="C541" s="1281"/>
      <c r="D541" s="1085" t="s">
        <v>1215</v>
      </c>
      <c r="E541" s="1085"/>
      <c r="F541" s="1085"/>
      <c r="G541" s="1225">
        <v>5.7</v>
      </c>
      <c r="H541" s="1225"/>
      <c r="I541" s="1225">
        <v>6.4</v>
      </c>
      <c r="J541" s="1225"/>
    </row>
    <row r="542" spans="2:10" ht="42.75" customHeight="1" thickBot="1" x14ac:dyDescent="0.3">
      <c r="B542" s="1281"/>
      <c r="C542" s="1281"/>
      <c r="D542" s="1085" t="s">
        <v>1216</v>
      </c>
      <c r="E542" s="1085"/>
      <c r="F542" s="1085"/>
      <c r="G542" s="1225">
        <v>7.1</v>
      </c>
      <c r="H542" s="1225"/>
      <c r="I542" s="1225">
        <v>7.5</v>
      </c>
      <c r="J542" s="1225"/>
    </row>
    <row r="543" spans="2:10" ht="79.5" customHeight="1" thickBot="1" x14ac:dyDescent="0.3">
      <c r="B543" s="1281"/>
      <c r="C543" s="1281"/>
      <c r="D543" s="1085" t="s">
        <v>1217</v>
      </c>
      <c r="E543" s="1085"/>
      <c r="F543" s="1085"/>
      <c r="G543" s="1225">
        <v>7</v>
      </c>
      <c r="H543" s="1225"/>
      <c r="I543" s="1225">
        <v>8</v>
      </c>
      <c r="J543" s="1225"/>
    </row>
    <row r="544" spans="2:10" ht="42" customHeight="1" thickBot="1" x14ac:dyDescent="0.3">
      <c r="B544" s="1281"/>
      <c r="C544" s="1281"/>
      <c r="D544" s="1085" t="s">
        <v>1218</v>
      </c>
      <c r="E544" s="1085"/>
      <c r="F544" s="1085"/>
      <c r="G544" s="1225">
        <v>7.2</v>
      </c>
      <c r="H544" s="1225"/>
      <c r="I544" s="1225">
        <v>8</v>
      </c>
      <c r="J544" s="1225"/>
    </row>
    <row r="545" spans="2:10" ht="48" customHeight="1" thickBot="1" x14ac:dyDescent="0.3">
      <c r="B545" s="1282"/>
      <c r="C545" s="1282"/>
      <c r="D545" s="1320" t="s">
        <v>1219</v>
      </c>
      <c r="E545" s="1320"/>
      <c r="F545" s="1320"/>
      <c r="G545" s="1238">
        <v>6.8</v>
      </c>
      <c r="H545" s="1238"/>
      <c r="I545" s="1238">
        <v>6.3</v>
      </c>
      <c r="J545" s="1238"/>
    </row>
    <row r="546" spans="2:10" ht="15.75" thickBot="1" x14ac:dyDescent="0.3">
      <c r="B546" s="508" t="s">
        <v>762</v>
      </c>
      <c r="C546" s="508"/>
      <c r="D546" s="508"/>
      <c r="E546" s="508"/>
      <c r="F546" s="508"/>
      <c r="G546" s="1231">
        <v>7.3</v>
      </c>
      <c r="H546" s="1231"/>
      <c r="I546" s="1231">
        <v>7.9</v>
      </c>
      <c r="J546" s="1231"/>
    </row>
    <row r="547" spans="2:10" ht="15.75" thickBot="1" x14ac:dyDescent="0.3">
      <c r="B547" s="507" t="s">
        <v>640</v>
      </c>
      <c r="C547" s="507"/>
      <c r="D547" s="507"/>
      <c r="E547" s="507"/>
      <c r="F547" s="507"/>
      <c r="G547" s="1239">
        <v>0.8</v>
      </c>
      <c r="H547" s="1239"/>
      <c r="I547" s="1239">
        <v>0.96</v>
      </c>
      <c r="J547" s="1239"/>
    </row>
    <row r="548" spans="2:10" ht="15.75" thickBot="1" x14ac:dyDescent="0.3">
      <c r="B548" s="238" t="s">
        <v>641</v>
      </c>
      <c r="C548" s="238"/>
      <c r="D548" s="238"/>
      <c r="E548" s="238"/>
      <c r="F548" s="238"/>
      <c r="G548" s="1240">
        <v>0.7</v>
      </c>
      <c r="H548" s="1240"/>
      <c r="I548" s="1240">
        <v>0.8</v>
      </c>
      <c r="J548" s="1240"/>
    </row>
    <row r="549" spans="2:10" x14ac:dyDescent="0.25">
      <c r="B549" s="1013" t="s">
        <v>1922</v>
      </c>
      <c r="C549" s="1013"/>
    </row>
    <row r="550" spans="2:10" x14ac:dyDescent="0.25">
      <c r="B550" s="40" t="s">
        <v>772</v>
      </c>
      <c r="C550" s="40"/>
    </row>
    <row r="551" spans="2:10" x14ac:dyDescent="0.25">
      <c r="B551" s="41"/>
    </row>
    <row r="552" spans="2:10" x14ac:dyDescent="0.25">
      <c r="B552" s="41"/>
    </row>
    <row r="553" spans="2:10" x14ac:dyDescent="0.25">
      <c r="B553" s="661" t="s">
        <v>818</v>
      </c>
      <c r="C553" s="661"/>
      <c r="D553" s="661"/>
      <c r="E553" s="518"/>
      <c r="F553" s="518"/>
    </row>
    <row r="554" spans="2:10" x14ac:dyDescent="0.25">
      <c r="B554" s="828" t="s">
        <v>2</v>
      </c>
      <c r="C554" s="828"/>
      <c r="D554" s="469" t="s">
        <v>424</v>
      </c>
      <c r="E554" s="469" t="s">
        <v>304</v>
      </c>
      <c r="F554" s="469" t="s">
        <v>422</v>
      </c>
    </row>
    <row r="555" spans="2:10" ht="15.75" customHeight="1" thickBot="1" x14ac:dyDescent="0.3">
      <c r="B555" s="1283" t="s">
        <v>7</v>
      </c>
      <c r="C555" s="1283"/>
      <c r="D555" s="684">
        <v>29</v>
      </c>
      <c r="E555" s="243">
        <v>10</v>
      </c>
      <c r="F555" s="527">
        <f>E555/D555</f>
        <v>0.34482758620689657</v>
      </c>
    </row>
    <row r="556" spans="2:10" ht="15.75" customHeight="1" thickBot="1" x14ac:dyDescent="0.3">
      <c r="B556" s="1284" t="s">
        <v>8</v>
      </c>
      <c r="C556" s="1284"/>
      <c r="D556" s="685">
        <v>34</v>
      </c>
      <c r="E556" s="258">
        <v>8</v>
      </c>
      <c r="F556" s="236">
        <f>E556/D556</f>
        <v>0.23529411764705882</v>
      </c>
    </row>
    <row r="557" spans="2:10" x14ac:dyDescent="0.25">
      <c r="B557" s="37"/>
    </row>
    <row r="558" spans="2:10" x14ac:dyDescent="0.25">
      <c r="B558" s="37"/>
    </row>
    <row r="559" spans="2:10" x14ac:dyDescent="0.25">
      <c r="B559" s="661" t="s">
        <v>969</v>
      </c>
      <c r="C559" s="661"/>
      <c r="D559" s="661"/>
      <c r="E559" s="518"/>
      <c r="F559" s="518"/>
    </row>
    <row r="560" spans="2:10" ht="22.5" customHeight="1" x14ac:dyDescent="0.25">
      <c r="B560" s="1158" t="s">
        <v>971</v>
      </c>
      <c r="C560" s="1158"/>
      <c r="D560" s="472" t="s">
        <v>29</v>
      </c>
      <c r="E560" s="472" t="s">
        <v>28</v>
      </c>
      <c r="F560" s="472" t="s">
        <v>970</v>
      </c>
      <c r="G560" s="472" t="s">
        <v>77</v>
      </c>
    </row>
    <row r="561" spans="2:7" ht="27.75" customHeight="1" thickBot="1" x14ac:dyDescent="0.3">
      <c r="B561" s="1141" t="s">
        <v>604</v>
      </c>
      <c r="C561" s="1141"/>
      <c r="D561" s="498">
        <v>7</v>
      </c>
      <c r="E561" s="498">
        <v>6.22</v>
      </c>
      <c r="F561" s="498"/>
      <c r="G561" s="703">
        <v>6.3</v>
      </c>
    </row>
    <row r="562" spans="2:7" ht="37.5" customHeight="1" thickBot="1" x14ac:dyDescent="0.3">
      <c r="B562" s="1141" t="s">
        <v>605</v>
      </c>
      <c r="C562" s="1141"/>
      <c r="D562" s="498">
        <v>9</v>
      </c>
      <c r="E562" s="498">
        <v>8.2200000000000006</v>
      </c>
      <c r="F562" s="498"/>
      <c r="G562" s="703">
        <v>8.3000000000000007</v>
      </c>
    </row>
    <row r="563" spans="2:7" ht="33" customHeight="1" thickBot="1" x14ac:dyDescent="0.3">
      <c r="B563" s="1141" t="s">
        <v>606</v>
      </c>
      <c r="C563" s="1141"/>
      <c r="D563" s="498">
        <v>9</v>
      </c>
      <c r="E563" s="498">
        <v>8</v>
      </c>
      <c r="F563" s="498"/>
      <c r="G563" s="703">
        <v>8.1</v>
      </c>
    </row>
    <row r="564" spans="2:7" ht="48" customHeight="1" thickBot="1" x14ac:dyDescent="0.3">
      <c r="B564" s="1141" t="s">
        <v>607</v>
      </c>
      <c r="C564" s="1141"/>
      <c r="D564" s="498">
        <v>9</v>
      </c>
      <c r="E564" s="498">
        <v>8.44</v>
      </c>
      <c r="F564" s="498"/>
      <c r="G564" s="703">
        <v>8.5</v>
      </c>
    </row>
    <row r="565" spans="2:7" ht="27.75" customHeight="1" thickBot="1" x14ac:dyDescent="0.3">
      <c r="B565" s="1141" t="s">
        <v>608</v>
      </c>
      <c r="C565" s="1141"/>
      <c r="D565" s="498">
        <v>9</v>
      </c>
      <c r="E565" s="498">
        <v>8.2200000000000006</v>
      </c>
      <c r="F565" s="498"/>
      <c r="G565" s="703">
        <v>8.3000000000000007</v>
      </c>
    </row>
    <row r="566" spans="2:7" ht="27" customHeight="1" thickBot="1" x14ac:dyDescent="0.3">
      <c r="B566" s="1141" t="s">
        <v>609</v>
      </c>
      <c r="C566" s="1141"/>
      <c r="D566" s="498">
        <v>10</v>
      </c>
      <c r="E566" s="498">
        <v>7.89</v>
      </c>
      <c r="F566" s="498"/>
      <c r="G566" s="703">
        <v>8.1</v>
      </c>
    </row>
    <row r="567" spans="2:7" ht="23.25" customHeight="1" thickBot="1" x14ac:dyDescent="0.3">
      <c r="B567" s="1141" t="s">
        <v>610</v>
      </c>
      <c r="C567" s="1141"/>
      <c r="D567" s="498">
        <v>8</v>
      </c>
      <c r="E567" s="498">
        <v>5.44</v>
      </c>
      <c r="F567" s="498"/>
      <c r="G567" s="703">
        <v>5.7</v>
      </c>
    </row>
    <row r="568" spans="2:7" ht="23.25" customHeight="1" thickBot="1" x14ac:dyDescent="0.3">
      <c r="B568" s="1141" t="s">
        <v>611</v>
      </c>
      <c r="C568" s="1141"/>
      <c r="D568" s="498">
        <v>10</v>
      </c>
      <c r="E568" s="498">
        <v>8.3000000000000007</v>
      </c>
      <c r="F568" s="498"/>
      <c r="G568" s="703">
        <v>8.5</v>
      </c>
    </row>
    <row r="569" spans="2:7" ht="46.5" customHeight="1" thickBot="1" x14ac:dyDescent="0.3">
      <c r="B569" s="1141" t="s">
        <v>612</v>
      </c>
      <c r="C569" s="1141"/>
      <c r="D569" s="498">
        <v>10</v>
      </c>
      <c r="E569" s="498">
        <v>8.56</v>
      </c>
      <c r="F569" s="498"/>
      <c r="G569" s="703">
        <v>8.6999999999999993</v>
      </c>
    </row>
    <row r="570" spans="2:7" ht="36" customHeight="1" thickBot="1" x14ac:dyDescent="0.3">
      <c r="B570" s="1141" t="s">
        <v>613</v>
      </c>
      <c r="C570" s="1141"/>
      <c r="D570" s="498">
        <v>10</v>
      </c>
      <c r="E570" s="498">
        <v>7.89</v>
      </c>
      <c r="F570" s="498"/>
      <c r="G570" s="703">
        <v>8.1</v>
      </c>
    </row>
    <row r="571" spans="2:7" ht="27" customHeight="1" thickBot="1" x14ac:dyDescent="0.3">
      <c r="B571" s="1141" t="s">
        <v>614</v>
      </c>
      <c r="C571" s="1141"/>
      <c r="D571" s="498">
        <v>9</v>
      </c>
      <c r="E571" s="498">
        <v>8.33</v>
      </c>
      <c r="F571" s="498"/>
      <c r="G571" s="703">
        <v>8.4</v>
      </c>
    </row>
    <row r="572" spans="2:7" ht="33" customHeight="1" thickBot="1" x14ac:dyDescent="0.3">
      <c r="B572" s="1141" t="s">
        <v>615</v>
      </c>
      <c r="C572" s="1141"/>
      <c r="D572" s="498" t="s">
        <v>10</v>
      </c>
      <c r="E572" s="498">
        <v>7.33</v>
      </c>
      <c r="F572" s="498"/>
      <c r="G572" s="703">
        <v>7.3</v>
      </c>
    </row>
    <row r="573" spans="2:7" ht="37.5" customHeight="1" thickBot="1" x14ac:dyDescent="0.3">
      <c r="B573" s="1141" t="s">
        <v>616</v>
      </c>
      <c r="C573" s="1141"/>
      <c r="D573" s="498" t="s">
        <v>10</v>
      </c>
      <c r="E573" s="498">
        <v>7</v>
      </c>
      <c r="F573" s="498"/>
      <c r="G573" s="703">
        <v>7</v>
      </c>
    </row>
    <row r="574" spans="2:7" ht="45" customHeight="1" thickBot="1" x14ac:dyDescent="0.3">
      <c r="B574" s="1141" t="s">
        <v>617</v>
      </c>
      <c r="C574" s="1141"/>
      <c r="D574" s="498">
        <v>8</v>
      </c>
      <c r="E574" s="498">
        <v>6.33</v>
      </c>
      <c r="F574" s="498"/>
      <c r="G574" s="703">
        <v>6.5</v>
      </c>
    </row>
    <row r="575" spans="2:7" ht="36" customHeight="1" thickBot="1" x14ac:dyDescent="0.3">
      <c r="B575" s="1141" t="s">
        <v>618</v>
      </c>
      <c r="C575" s="1141"/>
      <c r="D575" s="498">
        <v>8</v>
      </c>
      <c r="E575" s="498">
        <v>6.56</v>
      </c>
      <c r="F575" s="498"/>
      <c r="G575" s="703">
        <v>6.7</v>
      </c>
    </row>
    <row r="576" spans="2:7" ht="23.25" customHeight="1" thickBot="1" x14ac:dyDescent="0.3">
      <c r="B576" s="1141" t="s">
        <v>619</v>
      </c>
      <c r="C576" s="1141"/>
      <c r="D576" s="734">
        <v>9</v>
      </c>
      <c r="E576" s="734">
        <v>7.78</v>
      </c>
      <c r="F576" s="498"/>
      <c r="G576" s="735">
        <v>7.9</v>
      </c>
    </row>
    <row r="577" spans="2:7" x14ac:dyDescent="0.25">
      <c r="B577" s="1013" t="s">
        <v>1922</v>
      </c>
      <c r="C577" s="1013"/>
      <c r="D577" s="488"/>
      <c r="E577" s="488"/>
      <c r="G577" s="488"/>
    </row>
    <row r="578" spans="2:7" x14ac:dyDescent="0.25">
      <c r="B578" s="44" t="s">
        <v>620</v>
      </c>
      <c r="C578" s="44"/>
      <c r="D578" s="44"/>
    </row>
    <row r="579" spans="2:7" x14ac:dyDescent="0.25">
      <c r="B579" s="160"/>
      <c r="C579" s="8"/>
      <c r="D579" s="8"/>
    </row>
    <row r="580" spans="2:7" x14ac:dyDescent="0.25">
      <c r="B580" s="661" t="s">
        <v>972</v>
      </c>
      <c r="C580" s="661"/>
      <c r="D580" s="661"/>
      <c r="E580" s="518"/>
      <c r="F580" s="518"/>
      <c r="G580" s="518"/>
    </row>
    <row r="581" spans="2:7" ht="22.5" customHeight="1" x14ac:dyDescent="0.25">
      <c r="B581" s="1158" t="s">
        <v>971</v>
      </c>
      <c r="C581" s="1158"/>
      <c r="D581" s="472" t="s">
        <v>29</v>
      </c>
      <c r="E581" s="472" t="s">
        <v>28</v>
      </c>
      <c r="F581" s="472" t="s">
        <v>970</v>
      </c>
      <c r="G581" s="472" t="s">
        <v>77</v>
      </c>
    </row>
    <row r="582" spans="2:7" ht="27.75" customHeight="1" thickBot="1" x14ac:dyDescent="0.3">
      <c r="B582" s="1141" t="s">
        <v>604</v>
      </c>
      <c r="C582" s="1141"/>
      <c r="D582" s="498">
        <v>4.83</v>
      </c>
      <c r="E582" s="498">
        <v>3</v>
      </c>
      <c r="F582" s="498"/>
      <c r="G582" s="703">
        <v>4.38</v>
      </c>
    </row>
    <row r="583" spans="2:7" ht="37.5" customHeight="1" thickBot="1" x14ac:dyDescent="0.3">
      <c r="B583" s="1141" t="s">
        <v>605</v>
      </c>
      <c r="C583" s="1141"/>
      <c r="D583" s="498">
        <v>7.67</v>
      </c>
      <c r="E583" s="498">
        <v>9</v>
      </c>
      <c r="F583" s="498"/>
      <c r="G583" s="703">
        <v>8</v>
      </c>
    </row>
    <row r="584" spans="2:7" ht="33" customHeight="1" thickBot="1" x14ac:dyDescent="0.3">
      <c r="B584" s="1141" t="s">
        <v>606</v>
      </c>
      <c r="C584" s="1141"/>
      <c r="D584" s="498">
        <v>7.67</v>
      </c>
      <c r="E584" s="498">
        <v>9</v>
      </c>
      <c r="F584" s="498"/>
      <c r="G584" s="703">
        <v>8</v>
      </c>
    </row>
    <row r="585" spans="2:7" ht="48" customHeight="1" thickBot="1" x14ac:dyDescent="0.3">
      <c r="B585" s="1141" t="s">
        <v>607</v>
      </c>
      <c r="C585" s="1141"/>
      <c r="D585" s="498">
        <v>8.5</v>
      </c>
      <c r="E585" s="498">
        <v>9.5</v>
      </c>
      <c r="F585" s="498"/>
      <c r="G585" s="703">
        <v>8.75</v>
      </c>
    </row>
    <row r="586" spans="2:7" ht="27.75" customHeight="1" thickBot="1" x14ac:dyDescent="0.3">
      <c r="B586" s="1141" t="s">
        <v>608</v>
      </c>
      <c r="C586" s="1141"/>
      <c r="D586" s="498">
        <v>8.5</v>
      </c>
      <c r="E586" s="498">
        <v>9</v>
      </c>
      <c r="F586" s="498"/>
      <c r="G586" s="703">
        <v>8.6</v>
      </c>
    </row>
    <row r="587" spans="2:7" ht="27" customHeight="1" thickBot="1" x14ac:dyDescent="0.3">
      <c r="B587" s="1141" t="s">
        <v>609</v>
      </c>
      <c r="C587" s="1141"/>
      <c r="D587" s="498">
        <v>8.17</v>
      </c>
      <c r="E587" s="498">
        <v>9.5</v>
      </c>
      <c r="F587" s="498"/>
      <c r="G587" s="703">
        <v>8.5</v>
      </c>
    </row>
    <row r="588" spans="2:7" ht="23.25" customHeight="1" thickBot="1" x14ac:dyDescent="0.3">
      <c r="B588" s="1141" t="s">
        <v>610</v>
      </c>
      <c r="C588" s="1141"/>
      <c r="D588" s="498">
        <v>5</v>
      </c>
      <c r="E588" s="498">
        <v>4</v>
      </c>
      <c r="F588" s="498"/>
      <c r="G588" s="703">
        <v>4.75</v>
      </c>
    </row>
    <row r="589" spans="2:7" ht="23.25" customHeight="1" thickBot="1" x14ac:dyDescent="0.3">
      <c r="B589" s="1141" t="s">
        <v>611</v>
      </c>
      <c r="C589" s="1141"/>
      <c r="D589" s="498">
        <v>6.33</v>
      </c>
      <c r="E589" s="498">
        <v>7.5</v>
      </c>
      <c r="F589" s="498"/>
      <c r="G589" s="703">
        <v>6.63</v>
      </c>
    </row>
    <row r="590" spans="2:7" ht="46.5" customHeight="1" thickBot="1" x14ac:dyDescent="0.3">
      <c r="B590" s="1141" t="s">
        <v>612</v>
      </c>
      <c r="C590" s="1141"/>
      <c r="D590" s="498">
        <v>6.17</v>
      </c>
      <c r="E590" s="498">
        <v>7</v>
      </c>
      <c r="F590" s="498"/>
      <c r="G590" s="703">
        <v>6.38</v>
      </c>
    </row>
    <row r="591" spans="2:7" ht="36" customHeight="1" thickBot="1" x14ac:dyDescent="0.3">
      <c r="B591" s="1141" t="s">
        <v>613</v>
      </c>
      <c r="C591" s="1141"/>
      <c r="D591" s="498">
        <v>7.83</v>
      </c>
      <c r="E591" s="498">
        <v>10</v>
      </c>
      <c r="F591" s="498"/>
      <c r="G591" s="703">
        <v>8.3800000000000008</v>
      </c>
    </row>
    <row r="592" spans="2:7" ht="27" customHeight="1" thickBot="1" x14ac:dyDescent="0.3">
      <c r="B592" s="1141" t="s">
        <v>614</v>
      </c>
      <c r="C592" s="1141"/>
      <c r="D592" s="498">
        <v>5.83</v>
      </c>
      <c r="E592" s="498">
        <v>4.5</v>
      </c>
      <c r="F592" s="498"/>
      <c r="G592" s="703">
        <v>5.5</v>
      </c>
    </row>
    <row r="593" spans="2:24" ht="33" customHeight="1" thickBot="1" x14ac:dyDescent="0.3">
      <c r="B593" s="1141" t="s">
        <v>615</v>
      </c>
      <c r="C593" s="1141"/>
      <c r="D593" s="498">
        <v>7.33</v>
      </c>
      <c r="E593" s="498">
        <v>10</v>
      </c>
      <c r="F593" s="498"/>
      <c r="G593" s="703">
        <v>8</v>
      </c>
    </row>
    <row r="594" spans="2:24" ht="37.5" customHeight="1" thickBot="1" x14ac:dyDescent="0.3">
      <c r="B594" s="1141" t="s">
        <v>616</v>
      </c>
      <c r="C594" s="1141"/>
      <c r="D594" s="498">
        <v>8.5</v>
      </c>
      <c r="E594" s="498">
        <v>10</v>
      </c>
      <c r="F594" s="498"/>
      <c r="G594" s="703">
        <v>9</v>
      </c>
    </row>
    <row r="595" spans="2:24" ht="45" customHeight="1" thickBot="1" x14ac:dyDescent="0.3">
      <c r="B595" s="1141" t="s">
        <v>617</v>
      </c>
      <c r="C595" s="1141"/>
      <c r="D595" s="498">
        <v>6.17</v>
      </c>
      <c r="E595" s="498">
        <v>5</v>
      </c>
      <c r="F595" s="498"/>
      <c r="G595" s="703">
        <v>5.88</v>
      </c>
    </row>
    <row r="596" spans="2:24" ht="36" customHeight="1" thickBot="1" x14ac:dyDescent="0.3">
      <c r="B596" s="1141" t="s">
        <v>618</v>
      </c>
      <c r="C596" s="1141"/>
      <c r="D596" s="498">
        <v>6.83</v>
      </c>
      <c r="E596" s="498">
        <v>6.5</v>
      </c>
      <c r="F596" s="498"/>
      <c r="G596" s="703">
        <v>6.75</v>
      </c>
    </row>
    <row r="597" spans="2:24" ht="23.25" customHeight="1" thickBot="1" x14ac:dyDescent="0.3">
      <c r="B597" s="1141" t="s">
        <v>619</v>
      </c>
      <c r="C597" s="1141"/>
      <c r="D597" s="734">
        <v>7.67</v>
      </c>
      <c r="E597" s="734">
        <v>7.5</v>
      </c>
      <c r="F597" s="498"/>
      <c r="G597" s="735">
        <v>7.63</v>
      </c>
    </row>
    <row r="598" spans="2:24" x14ac:dyDescent="0.25">
      <c r="B598" s="1013" t="s">
        <v>1922</v>
      </c>
      <c r="C598" s="1013"/>
      <c r="D598" s="488"/>
      <c r="E598" s="488"/>
      <c r="F598" s="488"/>
      <c r="G598" s="488"/>
    </row>
    <row r="599" spans="2:24" x14ac:dyDescent="0.25">
      <c r="B599" s="44" t="s">
        <v>620</v>
      </c>
      <c r="C599" s="44"/>
      <c r="D599" s="44"/>
    </row>
    <row r="600" spans="2:24" x14ac:dyDescent="0.25">
      <c r="B600" s="44"/>
      <c r="C600" s="44"/>
      <c r="D600" s="44"/>
    </row>
    <row r="601" spans="2:24" x14ac:dyDescent="0.25">
      <c r="B601" s="160"/>
      <c r="C601" s="8"/>
      <c r="D601" s="8"/>
    </row>
    <row r="602" spans="2:24" x14ac:dyDescent="0.25">
      <c r="B602" s="661" t="s">
        <v>819</v>
      </c>
      <c r="C602" s="518"/>
      <c r="D602" s="518"/>
      <c r="E602" s="518"/>
      <c r="F602" s="518"/>
    </row>
    <row r="603" spans="2:24" s="33" customFormat="1" ht="15" customHeight="1" x14ac:dyDescent="0.15">
      <c r="B603" s="1251" t="s">
        <v>7</v>
      </c>
      <c r="C603" s="1252"/>
      <c r="D603" s="1252"/>
      <c r="E603" s="1252"/>
      <c r="F603" s="1252"/>
      <c r="G603" s="1252"/>
      <c r="H603" s="1252"/>
      <c r="I603" s="1252"/>
      <c r="J603" s="1252"/>
      <c r="K603" s="1252"/>
      <c r="L603" s="1252"/>
      <c r="M603" s="1252"/>
      <c r="N603" s="1252"/>
      <c r="O603" s="1252"/>
      <c r="P603" s="1252"/>
      <c r="Q603" s="1252"/>
      <c r="R603" s="1252"/>
      <c r="S603" s="1252"/>
      <c r="T603" s="1252"/>
      <c r="U603" s="1252"/>
      <c r="V603" s="1252"/>
    </row>
    <row r="604" spans="2:24" s="33" customFormat="1" ht="15" customHeight="1" x14ac:dyDescent="0.15">
      <c r="B604" s="777" t="s">
        <v>294</v>
      </c>
      <c r="C604" s="777" t="s">
        <v>249</v>
      </c>
      <c r="D604" s="777"/>
      <c r="E604" s="777" t="s">
        <v>431</v>
      </c>
      <c r="F604" s="777" t="s">
        <v>432</v>
      </c>
      <c r="G604" s="777" t="s">
        <v>433</v>
      </c>
      <c r="H604" s="777"/>
      <c r="I604" s="777" t="s">
        <v>434</v>
      </c>
      <c r="J604" s="777"/>
      <c r="K604" s="778" t="s">
        <v>435</v>
      </c>
      <c r="L604" s="778"/>
      <c r="M604" s="778"/>
      <c r="N604" s="778"/>
      <c r="O604" s="778"/>
      <c r="P604" s="778"/>
      <c r="Q604" s="778"/>
      <c r="R604" s="778"/>
      <c r="S604" s="778"/>
      <c r="T604" s="778"/>
      <c r="U604" s="778"/>
      <c r="V604" s="778"/>
      <c r="X604" s="736"/>
    </row>
    <row r="605" spans="2:24" s="33" customFormat="1" ht="15" customHeight="1" x14ac:dyDescent="0.15">
      <c r="B605" s="778"/>
      <c r="C605" s="778"/>
      <c r="D605" s="778"/>
      <c r="E605" s="778"/>
      <c r="F605" s="778"/>
      <c r="G605" s="778"/>
      <c r="H605" s="778"/>
      <c r="I605" s="778"/>
      <c r="J605" s="778"/>
      <c r="K605" s="781" t="s">
        <v>436</v>
      </c>
      <c r="L605" s="781"/>
      <c r="M605" s="781" t="s">
        <v>437</v>
      </c>
      <c r="N605" s="781"/>
      <c r="O605" s="781" t="s">
        <v>438</v>
      </c>
      <c r="P605" s="781"/>
      <c r="Q605" s="781" t="s">
        <v>439</v>
      </c>
      <c r="R605" s="781"/>
      <c r="S605" s="781" t="s">
        <v>440</v>
      </c>
      <c r="T605" s="781"/>
      <c r="U605" s="781" t="s">
        <v>441</v>
      </c>
      <c r="V605" s="781"/>
    </row>
    <row r="606" spans="2:24" s="33" customFormat="1" ht="21.75" customHeight="1" thickBot="1" x14ac:dyDescent="0.2">
      <c r="B606" s="243">
        <v>37214001</v>
      </c>
      <c r="C606" s="1142" t="s">
        <v>442</v>
      </c>
      <c r="D606" s="1142"/>
      <c r="E606" s="244" t="s">
        <v>259</v>
      </c>
      <c r="F606" s="243" t="s">
        <v>443</v>
      </c>
      <c r="G606" s="1243">
        <v>63</v>
      </c>
      <c r="H606" s="1243"/>
      <c r="I606" s="1243" t="s">
        <v>444</v>
      </c>
      <c r="J606" s="1243"/>
      <c r="K606" s="737">
        <v>28</v>
      </c>
      <c r="L606" s="738">
        <v>0.44444444444444442</v>
      </c>
      <c r="M606" s="737">
        <v>0</v>
      </c>
      <c r="N606" s="738">
        <v>0</v>
      </c>
      <c r="O606" s="737">
        <v>12</v>
      </c>
      <c r="P606" s="738">
        <v>0.19047619047619047</v>
      </c>
      <c r="Q606" s="737">
        <v>23</v>
      </c>
      <c r="R606" s="738">
        <v>0.36507936507936506</v>
      </c>
      <c r="S606" s="737">
        <v>0</v>
      </c>
      <c r="T606" s="738">
        <v>0</v>
      </c>
      <c r="U606" s="737">
        <v>0</v>
      </c>
      <c r="V606" s="738">
        <v>0</v>
      </c>
    </row>
    <row r="607" spans="2:24" s="33" customFormat="1" ht="21.75" customHeight="1" thickBot="1" x14ac:dyDescent="0.2">
      <c r="B607" s="239">
        <v>37214006</v>
      </c>
      <c r="C607" s="1142" t="s">
        <v>445</v>
      </c>
      <c r="D607" s="1142"/>
      <c r="E607" s="240" t="s">
        <v>259</v>
      </c>
      <c r="F607" s="239" t="s">
        <v>443</v>
      </c>
      <c r="G607" s="1243">
        <v>47</v>
      </c>
      <c r="H607" s="1243"/>
      <c r="I607" s="1246" t="s">
        <v>444</v>
      </c>
      <c r="J607" s="1246"/>
      <c r="K607" s="737">
        <v>9</v>
      </c>
      <c r="L607" s="739">
        <v>0.19148936170212766</v>
      </c>
      <c r="M607" s="737">
        <v>4</v>
      </c>
      <c r="N607" s="739">
        <v>8.5106382978723402E-2</v>
      </c>
      <c r="O607" s="737">
        <v>28</v>
      </c>
      <c r="P607" s="739">
        <v>0.5957446808510638</v>
      </c>
      <c r="Q607" s="737">
        <v>4</v>
      </c>
      <c r="R607" s="739">
        <v>8.5106382978723402E-2</v>
      </c>
      <c r="S607" s="737">
        <v>1</v>
      </c>
      <c r="T607" s="739">
        <v>2.1276595744680851E-2</v>
      </c>
      <c r="U607" s="737">
        <v>1</v>
      </c>
      <c r="V607" s="739">
        <v>2.1276595744680851E-2</v>
      </c>
    </row>
    <row r="608" spans="2:24" s="33" customFormat="1" ht="21.75" customHeight="1" thickBot="1" x14ac:dyDescent="0.2">
      <c r="B608" s="239">
        <v>37214102</v>
      </c>
      <c r="C608" s="1142" t="s">
        <v>270</v>
      </c>
      <c r="D608" s="1142"/>
      <c r="E608" s="240" t="s">
        <v>269</v>
      </c>
      <c r="F608" s="239" t="s">
        <v>443</v>
      </c>
      <c r="G608" s="1243">
        <v>47</v>
      </c>
      <c r="H608" s="1243"/>
      <c r="I608" s="1246" t="s">
        <v>444</v>
      </c>
      <c r="J608" s="1246"/>
      <c r="K608" s="737">
        <v>25</v>
      </c>
      <c r="L608" s="739">
        <v>0.53191489361702127</v>
      </c>
      <c r="M608" s="737">
        <v>5</v>
      </c>
      <c r="N608" s="739">
        <v>0.10638297872340426</v>
      </c>
      <c r="O608" s="737">
        <v>16</v>
      </c>
      <c r="P608" s="739">
        <v>0.34042553191489361</v>
      </c>
      <c r="Q608" s="737">
        <v>0</v>
      </c>
      <c r="R608" s="739">
        <v>0</v>
      </c>
      <c r="S608" s="737">
        <v>1</v>
      </c>
      <c r="T608" s="739">
        <v>2.1276595744680851E-2</v>
      </c>
      <c r="U608" s="737">
        <v>0</v>
      </c>
      <c r="V608" s="739">
        <v>0</v>
      </c>
    </row>
    <row r="609" spans="2:22" s="33" customFormat="1" ht="21.75" customHeight="1" thickBot="1" x14ac:dyDescent="0.2">
      <c r="B609" s="239">
        <v>37214106</v>
      </c>
      <c r="C609" s="1142" t="s">
        <v>515</v>
      </c>
      <c r="D609" s="1142"/>
      <c r="E609" s="240" t="s">
        <v>269</v>
      </c>
      <c r="F609" s="239" t="s">
        <v>443</v>
      </c>
      <c r="G609" s="1243">
        <v>51</v>
      </c>
      <c r="H609" s="1243"/>
      <c r="I609" s="1246" t="s">
        <v>444</v>
      </c>
      <c r="J609" s="1246"/>
      <c r="K609" s="737">
        <v>28</v>
      </c>
      <c r="L609" s="739">
        <v>0.5490196078431373</v>
      </c>
      <c r="M609" s="737">
        <v>7</v>
      </c>
      <c r="N609" s="739">
        <v>0.13725490196078433</v>
      </c>
      <c r="O609" s="737">
        <v>14</v>
      </c>
      <c r="P609" s="739">
        <v>0.27450980392156865</v>
      </c>
      <c r="Q609" s="737">
        <v>2</v>
      </c>
      <c r="R609" s="739">
        <v>3.9215686274509803E-2</v>
      </c>
      <c r="S609" s="737">
        <v>0</v>
      </c>
      <c r="T609" s="739">
        <v>0</v>
      </c>
      <c r="U609" s="737">
        <v>0</v>
      </c>
      <c r="V609" s="739">
        <v>0</v>
      </c>
    </row>
    <row r="610" spans="2:22" s="33" customFormat="1" ht="21.75" customHeight="1" thickBot="1" x14ac:dyDescent="0.2">
      <c r="B610" s="239">
        <v>37214104</v>
      </c>
      <c r="C610" s="1142" t="s">
        <v>447</v>
      </c>
      <c r="D610" s="1142"/>
      <c r="E610" s="240" t="s">
        <v>269</v>
      </c>
      <c r="F610" s="239" t="s">
        <v>443</v>
      </c>
      <c r="G610" s="1243">
        <v>39</v>
      </c>
      <c r="H610" s="1243"/>
      <c r="I610" s="1246" t="s">
        <v>444</v>
      </c>
      <c r="J610" s="1246"/>
      <c r="K610" s="737">
        <v>20</v>
      </c>
      <c r="L610" s="739">
        <v>0.51282051282051277</v>
      </c>
      <c r="M610" s="737">
        <v>6</v>
      </c>
      <c r="N610" s="739">
        <v>0.15384615384615385</v>
      </c>
      <c r="O610" s="737">
        <v>11</v>
      </c>
      <c r="P610" s="739">
        <v>0.28205128205128205</v>
      </c>
      <c r="Q610" s="737">
        <v>1</v>
      </c>
      <c r="R610" s="739">
        <v>2.564102564102564E-2</v>
      </c>
      <c r="S610" s="737">
        <v>0</v>
      </c>
      <c r="T610" s="739">
        <v>0</v>
      </c>
      <c r="U610" s="737">
        <v>1</v>
      </c>
      <c r="V610" s="739">
        <v>2.564102564102564E-2</v>
      </c>
    </row>
    <row r="611" spans="2:22" s="33" customFormat="1" ht="21.75" customHeight="1" thickBot="1" x14ac:dyDescent="0.2">
      <c r="B611" s="239">
        <v>37214002</v>
      </c>
      <c r="C611" s="1142" t="s">
        <v>448</v>
      </c>
      <c r="D611" s="1142"/>
      <c r="E611" s="240" t="s">
        <v>259</v>
      </c>
      <c r="F611" s="239" t="s">
        <v>443</v>
      </c>
      <c r="G611" s="1243">
        <v>66</v>
      </c>
      <c r="H611" s="1243"/>
      <c r="I611" s="1246" t="s">
        <v>444</v>
      </c>
      <c r="J611" s="1246"/>
      <c r="K611" s="737">
        <v>11</v>
      </c>
      <c r="L611" s="739">
        <v>0.16666666666666666</v>
      </c>
      <c r="M611" s="737">
        <v>7</v>
      </c>
      <c r="N611" s="739">
        <v>0.10606060606060606</v>
      </c>
      <c r="O611" s="737">
        <v>5</v>
      </c>
      <c r="P611" s="739">
        <v>7.575757575757576E-2</v>
      </c>
      <c r="Q611" s="737">
        <v>43</v>
      </c>
      <c r="R611" s="739">
        <v>0.65151515151515149</v>
      </c>
      <c r="S611" s="737">
        <v>0</v>
      </c>
      <c r="T611" s="739">
        <v>0</v>
      </c>
      <c r="U611" s="737">
        <v>0</v>
      </c>
      <c r="V611" s="739">
        <v>0</v>
      </c>
    </row>
    <row r="612" spans="2:22" s="33" customFormat="1" ht="21.75" customHeight="1" thickBot="1" x14ac:dyDescent="0.2">
      <c r="B612" s="239">
        <v>37214010</v>
      </c>
      <c r="C612" s="1142" t="s">
        <v>449</v>
      </c>
      <c r="D612" s="1142"/>
      <c r="E612" s="240" t="s">
        <v>259</v>
      </c>
      <c r="F612" s="239" t="s">
        <v>443</v>
      </c>
      <c r="G612" s="1243">
        <v>52</v>
      </c>
      <c r="H612" s="1243"/>
      <c r="I612" s="1246" t="s">
        <v>444</v>
      </c>
      <c r="J612" s="1246"/>
      <c r="K612" s="737">
        <v>29</v>
      </c>
      <c r="L612" s="739">
        <v>0.55769230769230771</v>
      </c>
      <c r="M612" s="737">
        <v>3</v>
      </c>
      <c r="N612" s="739">
        <v>5.7692307692307696E-2</v>
      </c>
      <c r="O612" s="737">
        <v>8</v>
      </c>
      <c r="P612" s="739">
        <v>0.15384615384615385</v>
      </c>
      <c r="Q612" s="737">
        <v>12</v>
      </c>
      <c r="R612" s="739">
        <v>0.23076923076923078</v>
      </c>
      <c r="S612" s="737">
        <v>0</v>
      </c>
      <c r="T612" s="739">
        <v>0</v>
      </c>
      <c r="U612" s="737">
        <v>0</v>
      </c>
      <c r="V612" s="739">
        <v>0</v>
      </c>
    </row>
    <row r="613" spans="2:22" s="33" customFormat="1" ht="21.75" customHeight="1" thickBot="1" x14ac:dyDescent="0.2">
      <c r="B613" s="259">
        <v>37214101</v>
      </c>
      <c r="C613" s="1250" t="s">
        <v>450</v>
      </c>
      <c r="D613" s="1250"/>
      <c r="E613" s="260" t="s">
        <v>269</v>
      </c>
      <c r="F613" s="259" t="s">
        <v>443</v>
      </c>
      <c r="G613" s="1247">
        <v>46</v>
      </c>
      <c r="H613" s="1247"/>
      <c r="I613" s="1247" t="s">
        <v>444</v>
      </c>
      <c r="J613" s="1247"/>
      <c r="K613" s="737">
        <v>7</v>
      </c>
      <c r="L613" s="740">
        <v>0.15217391304347827</v>
      </c>
      <c r="M613" s="737">
        <v>1</v>
      </c>
      <c r="N613" s="740">
        <v>2.1739130434782608E-2</v>
      </c>
      <c r="O613" s="737">
        <v>35</v>
      </c>
      <c r="P613" s="740">
        <v>0.76086956521739135</v>
      </c>
      <c r="Q613" s="737">
        <v>3</v>
      </c>
      <c r="R613" s="740">
        <v>6.5217391304347824E-2</v>
      </c>
      <c r="S613" s="737">
        <v>0</v>
      </c>
      <c r="T613" s="740">
        <v>0</v>
      </c>
      <c r="U613" s="737">
        <v>0</v>
      </c>
      <c r="V613" s="740">
        <v>0</v>
      </c>
    </row>
    <row r="614" spans="2:22" s="33" customFormat="1" ht="21.75" customHeight="1" thickBot="1" x14ac:dyDescent="0.2">
      <c r="B614" s="243">
        <v>37214005</v>
      </c>
      <c r="C614" s="1142" t="s">
        <v>451</v>
      </c>
      <c r="D614" s="1142"/>
      <c r="E614" s="244" t="s">
        <v>259</v>
      </c>
      <c r="F614" s="243" t="s">
        <v>443</v>
      </c>
      <c r="G614" s="1243">
        <v>44</v>
      </c>
      <c r="H614" s="1243"/>
      <c r="I614" s="1243" t="s">
        <v>444</v>
      </c>
      <c r="J614" s="1243"/>
      <c r="K614" s="737">
        <v>14</v>
      </c>
      <c r="L614" s="738">
        <v>0.31818181818181818</v>
      </c>
      <c r="M614" s="737">
        <v>1</v>
      </c>
      <c r="N614" s="738">
        <v>2.2727272727272728E-2</v>
      </c>
      <c r="O614" s="737">
        <v>26</v>
      </c>
      <c r="P614" s="738">
        <v>0.59090909090909094</v>
      </c>
      <c r="Q614" s="737">
        <v>3</v>
      </c>
      <c r="R614" s="738">
        <v>6.8181818181818177E-2</v>
      </c>
      <c r="S614" s="737">
        <v>0</v>
      </c>
      <c r="T614" s="738">
        <v>0</v>
      </c>
      <c r="U614" s="737">
        <v>0</v>
      </c>
      <c r="V614" s="738">
        <v>0</v>
      </c>
    </row>
    <row r="615" spans="2:22" s="33" customFormat="1" ht="21.75" customHeight="1" thickBot="1" x14ac:dyDescent="0.2">
      <c r="B615" s="239">
        <v>37214003</v>
      </c>
      <c r="C615" s="1142" t="s">
        <v>1094</v>
      </c>
      <c r="D615" s="1142"/>
      <c r="E615" s="240" t="s">
        <v>259</v>
      </c>
      <c r="F615" s="239" t="s">
        <v>443</v>
      </c>
      <c r="G615" s="1243">
        <v>81</v>
      </c>
      <c r="H615" s="1243"/>
      <c r="I615" s="1246" t="s">
        <v>444</v>
      </c>
      <c r="J615" s="1246"/>
      <c r="K615" s="737">
        <v>27</v>
      </c>
      <c r="L615" s="739">
        <v>0.33333333333333331</v>
      </c>
      <c r="M615" s="737">
        <v>7</v>
      </c>
      <c r="N615" s="739">
        <v>8.6419753086419748E-2</v>
      </c>
      <c r="O615" s="737">
        <v>5</v>
      </c>
      <c r="P615" s="739">
        <v>6.1728395061728392E-2</v>
      </c>
      <c r="Q615" s="737">
        <v>42</v>
      </c>
      <c r="R615" s="739">
        <v>0.51851851851851849</v>
      </c>
      <c r="S615" s="737">
        <v>0</v>
      </c>
      <c r="T615" s="739">
        <v>0</v>
      </c>
      <c r="U615" s="737">
        <v>0</v>
      </c>
      <c r="V615" s="739">
        <v>0</v>
      </c>
    </row>
    <row r="616" spans="2:22" s="33" customFormat="1" ht="21.75" customHeight="1" thickBot="1" x14ac:dyDescent="0.2">
      <c r="B616" s="239">
        <v>37214004</v>
      </c>
      <c r="C616" s="1142" t="s">
        <v>453</v>
      </c>
      <c r="D616" s="1142"/>
      <c r="E616" s="240" t="s">
        <v>259</v>
      </c>
      <c r="F616" s="239" t="s">
        <v>443</v>
      </c>
      <c r="G616" s="1243">
        <v>51</v>
      </c>
      <c r="H616" s="1243"/>
      <c r="I616" s="1246" t="s">
        <v>444</v>
      </c>
      <c r="J616" s="1246"/>
      <c r="K616" s="737">
        <v>30</v>
      </c>
      <c r="L616" s="739">
        <v>0.58823529411764708</v>
      </c>
      <c r="M616" s="737">
        <v>5</v>
      </c>
      <c r="N616" s="739">
        <v>9.8039215686274508E-2</v>
      </c>
      <c r="O616" s="737">
        <v>11</v>
      </c>
      <c r="P616" s="739">
        <v>0.21568627450980393</v>
      </c>
      <c r="Q616" s="737">
        <v>5</v>
      </c>
      <c r="R616" s="739">
        <v>9.8039215686274508E-2</v>
      </c>
      <c r="S616" s="737">
        <v>0</v>
      </c>
      <c r="T616" s="739">
        <v>0</v>
      </c>
      <c r="U616" s="737">
        <v>0</v>
      </c>
      <c r="V616" s="739">
        <v>0</v>
      </c>
    </row>
    <row r="617" spans="2:22" s="33" customFormat="1" ht="21.75" customHeight="1" thickBot="1" x14ac:dyDescent="0.2">
      <c r="B617" s="239">
        <v>37214008</v>
      </c>
      <c r="C617" s="1142" t="s">
        <v>454</v>
      </c>
      <c r="D617" s="1142"/>
      <c r="E617" s="240" t="s">
        <v>259</v>
      </c>
      <c r="F617" s="239" t="s">
        <v>443</v>
      </c>
      <c r="G617" s="1243">
        <v>45</v>
      </c>
      <c r="H617" s="1243"/>
      <c r="I617" s="1246" t="s">
        <v>444</v>
      </c>
      <c r="J617" s="1246"/>
      <c r="K617" s="737">
        <v>15</v>
      </c>
      <c r="L617" s="739">
        <v>0.33333333333333331</v>
      </c>
      <c r="M617" s="737">
        <v>1</v>
      </c>
      <c r="N617" s="739">
        <v>2.2222222222222223E-2</v>
      </c>
      <c r="O617" s="737">
        <v>17</v>
      </c>
      <c r="P617" s="739">
        <v>0.37777777777777777</v>
      </c>
      <c r="Q617" s="737">
        <v>12</v>
      </c>
      <c r="R617" s="739">
        <v>0.26666666666666666</v>
      </c>
      <c r="S617" s="737">
        <v>0</v>
      </c>
      <c r="T617" s="739">
        <v>0</v>
      </c>
      <c r="U617" s="737">
        <v>0</v>
      </c>
      <c r="V617" s="739">
        <v>0</v>
      </c>
    </row>
    <row r="618" spans="2:22" s="33" customFormat="1" ht="21.75" customHeight="1" thickBot="1" x14ac:dyDescent="0.2">
      <c r="B618" s="239">
        <v>37214009</v>
      </c>
      <c r="C618" s="1142" t="s">
        <v>455</v>
      </c>
      <c r="D618" s="1142"/>
      <c r="E618" s="240" t="s">
        <v>259</v>
      </c>
      <c r="F618" s="239" t="s">
        <v>443</v>
      </c>
      <c r="G618" s="1243">
        <v>45</v>
      </c>
      <c r="H618" s="1243"/>
      <c r="I618" s="1246" t="s">
        <v>444</v>
      </c>
      <c r="J618" s="1246"/>
      <c r="K618" s="737">
        <v>29</v>
      </c>
      <c r="L618" s="739">
        <v>0.64444444444444449</v>
      </c>
      <c r="M618" s="737">
        <v>1</v>
      </c>
      <c r="N618" s="739">
        <v>2.2222222222222223E-2</v>
      </c>
      <c r="O618" s="737">
        <v>10</v>
      </c>
      <c r="P618" s="739">
        <v>0.22222222222222221</v>
      </c>
      <c r="Q618" s="737">
        <v>5</v>
      </c>
      <c r="R618" s="739">
        <v>0.1111111111111111</v>
      </c>
      <c r="S618" s="737">
        <v>0</v>
      </c>
      <c r="T618" s="739">
        <v>0</v>
      </c>
      <c r="U618" s="737">
        <v>0</v>
      </c>
      <c r="V618" s="739">
        <v>0</v>
      </c>
    </row>
    <row r="619" spans="2:22" s="33" customFormat="1" ht="21.75" customHeight="1" thickBot="1" x14ac:dyDescent="0.2">
      <c r="B619" s="239">
        <v>37214107</v>
      </c>
      <c r="C619" s="1142" t="s">
        <v>456</v>
      </c>
      <c r="D619" s="1142"/>
      <c r="E619" s="240" t="s">
        <v>269</v>
      </c>
      <c r="F619" s="239" t="s">
        <v>180</v>
      </c>
      <c r="G619" s="1243">
        <v>42</v>
      </c>
      <c r="H619" s="1243"/>
      <c r="I619" s="1246" t="s">
        <v>444</v>
      </c>
      <c r="J619" s="1246"/>
      <c r="K619" s="737">
        <v>23</v>
      </c>
      <c r="L619" s="739">
        <v>0.54761904761904767</v>
      </c>
      <c r="M619" s="737">
        <v>1</v>
      </c>
      <c r="N619" s="739">
        <v>2.3809523809523808E-2</v>
      </c>
      <c r="O619" s="737">
        <v>16</v>
      </c>
      <c r="P619" s="739">
        <v>0.38095238095238093</v>
      </c>
      <c r="Q619" s="737">
        <v>2</v>
      </c>
      <c r="R619" s="739">
        <v>4.7619047619047616E-2</v>
      </c>
      <c r="S619" s="737">
        <v>0</v>
      </c>
      <c r="T619" s="739">
        <v>0</v>
      </c>
      <c r="U619" s="737">
        <v>0</v>
      </c>
      <c r="V619" s="739">
        <v>0</v>
      </c>
    </row>
    <row r="620" spans="2:22" s="33" customFormat="1" ht="21.75" customHeight="1" thickBot="1" x14ac:dyDescent="0.2">
      <c r="B620" s="239">
        <v>37214105</v>
      </c>
      <c r="C620" s="1142" t="s">
        <v>457</v>
      </c>
      <c r="D620" s="1142"/>
      <c r="E620" s="240" t="s">
        <v>269</v>
      </c>
      <c r="F620" s="239" t="s">
        <v>443</v>
      </c>
      <c r="G620" s="1243">
        <v>29</v>
      </c>
      <c r="H620" s="1243"/>
      <c r="I620" s="1246" t="s">
        <v>444</v>
      </c>
      <c r="J620" s="1246"/>
      <c r="K620" s="737">
        <v>15</v>
      </c>
      <c r="L620" s="739">
        <v>0.51724137931034486</v>
      </c>
      <c r="M620" s="737">
        <v>1</v>
      </c>
      <c r="N620" s="739">
        <v>3.4482758620689655E-2</v>
      </c>
      <c r="O620" s="737">
        <v>11</v>
      </c>
      <c r="P620" s="739">
        <v>0.37931034482758619</v>
      </c>
      <c r="Q620" s="737">
        <v>2</v>
      </c>
      <c r="R620" s="739">
        <v>6.8965517241379309E-2</v>
      </c>
      <c r="S620" s="737">
        <v>0</v>
      </c>
      <c r="T620" s="739">
        <v>0</v>
      </c>
      <c r="U620" s="737">
        <v>0</v>
      </c>
      <c r="V620" s="739">
        <v>0</v>
      </c>
    </row>
    <row r="621" spans="2:22" s="33" customFormat="1" ht="21.75" customHeight="1" thickBot="1" x14ac:dyDescent="0.2">
      <c r="B621" s="239">
        <v>37214109</v>
      </c>
      <c r="C621" s="1142" t="s">
        <v>458</v>
      </c>
      <c r="D621" s="1142"/>
      <c r="E621" s="240" t="s">
        <v>269</v>
      </c>
      <c r="F621" s="239" t="s">
        <v>443</v>
      </c>
      <c r="G621" s="1243">
        <v>70</v>
      </c>
      <c r="H621" s="1243"/>
      <c r="I621" s="1246" t="s">
        <v>444</v>
      </c>
      <c r="J621" s="1246"/>
      <c r="K621" s="737">
        <v>23</v>
      </c>
      <c r="L621" s="739">
        <v>0.32857142857142857</v>
      </c>
      <c r="M621" s="737">
        <v>0</v>
      </c>
      <c r="N621" s="739">
        <v>0</v>
      </c>
      <c r="O621" s="737">
        <v>8</v>
      </c>
      <c r="P621" s="739">
        <v>0.11428571428571428</v>
      </c>
      <c r="Q621" s="737">
        <v>39</v>
      </c>
      <c r="R621" s="739">
        <v>0.55714285714285716</v>
      </c>
      <c r="S621" s="737">
        <v>0</v>
      </c>
      <c r="T621" s="739">
        <v>0</v>
      </c>
      <c r="U621" s="737">
        <v>0</v>
      </c>
      <c r="V621" s="739">
        <v>0</v>
      </c>
    </row>
    <row r="622" spans="2:22" s="33" customFormat="1" ht="35.25" customHeight="1" thickBot="1" x14ac:dyDescent="0.2">
      <c r="B622" s="239">
        <v>37214007</v>
      </c>
      <c r="C622" s="1142" t="s">
        <v>459</v>
      </c>
      <c r="D622" s="1142"/>
      <c r="E622" s="240" t="s">
        <v>259</v>
      </c>
      <c r="F622" s="239" t="s">
        <v>443</v>
      </c>
      <c r="G622" s="1243">
        <v>55</v>
      </c>
      <c r="H622" s="1243"/>
      <c r="I622" s="1246" t="s">
        <v>444</v>
      </c>
      <c r="J622" s="1246"/>
      <c r="K622" s="737">
        <v>21</v>
      </c>
      <c r="L622" s="739">
        <v>0.38181818181818183</v>
      </c>
      <c r="M622" s="737">
        <v>10</v>
      </c>
      <c r="N622" s="739">
        <v>0.18181818181818182</v>
      </c>
      <c r="O622" s="737">
        <v>15</v>
      </c>
      <c r="P622" s="739">
        <v>0.27272727272727271</v>
      </c>
      <c r="Q622" s="737">
        <v>5</v>
      </c>
      <c r="R622" s="739">
        <v>9.0909090909090912E-2</v>
      </c>
      <c r="S622" s="737">
        <v>4</v>
      </c>
      <c r="T622" s="739">
        <v>7.2727272727272724E-2</v>
      </c>
      <c r="U622" s="737">
        <v>0</v>
      </c>
      <c r="V622" s="739">
        <v>0</v>
      </c>
    </row>
    <row r="623" spans="2:22" s="33" customFormat="1" ht="34.5" customHeight="1" thickBot="1" x14ac:dyDescent="0.2">
      <c r="B623" s="259">
        <v>37214116</v>
      </c>
      <c r="C623" s="1250" t="s">
        <v>460</v>
      </c>
      <c r="D623" s="1250"/>
      <c r="E623" s="260" t="s">
        <v>269</v>
      </c>
      <c r="F623" s="259" t="s">
        <v>443</v>
      </c>
      <c r="G623" s="1247">
        <v>45</v>
      </c>
      <c r="H623" s="1247"/>
      <c r="I623" s="1247" t="s">
        <v>444</v>
      </c>
      <c r="J623" s="1247"/>
      <c r="K623" s="737">
        <v>19</v>
      </c>
      <c r="L623" s="740">
        <v>0.42222222222222222</v>
      </c>
      <c r="M623" s="737">
        <v>4</v>
      </c>
      <c r="N623" s="740">
        <v>8.8888888888888892E-2</v>
      </c>
      <c r="O623" s="737">
        <v>16</v>
      </c>
      <c r="P623" s="740">
        <v>0.35555555555555557</v>
      </c>
      <c r="Q623" s="737">
        <v>5</v>
      </c>
      <c r="R623" s="740">
        <v>0.1111111111111111</v>
      </c>
      <c r="S623" s="737">
        <v>1</v>
      </c>
      <c r="T623" s="740">
        <v>2.2222222222222223E-2</v>
      </c>
      <c r="U623" s="737">
        <v>0</v>
      </c>
      <c r="V623" s="740">
        <v>0</v>
      </c>
    </row>
    <row r="624" spans="2:22" s="33" customFormat="1" ht="21.75" customHeight="1" thickBot="1" x14ac:dyDescent="0.2">
      <c r="B624" s="243">
        <v>37214103</v>
      </c>
      <c r="C624" s="1142" t="s">
        <v>461</v>
      </c>
      <c r="D624" s="1142"/>
      <c r="E624" s="244" t="s">
        <v>269</v>
      </c>
      <c r="F624" s="243" t="s">
        <v>443</v>
      </c>
      <c r="G624" s="1243">
        <v>36</v>
      </c>
      <c r="H624" s="1243"/>
      <c r="I624" s="1243" t="s">
        <v>444</v>
      </c>
      <c r="J624" s="1243"/>
      <c r="K624" s="737">
        <v>9</v>
      </c>
      <c r="L624" s="738">
        <v>0.25</v>
      </c>
      <c r="M624" s="737">
        <v>0</v>
      </c>
      <c r="N624" s="738">
        <v>0</v>
      </c>
      <c r="O624" s="737">
        <v>21</v>
      </c>
      <c r="P624" s="738">
        <v>0.58333333333333337</v>
      </c>
      <c r="Q624" s="737">
        <v>1</v>
      </c>
      <c r="R624" s="738">
        <v>2.7777777777777776E-2</v>
      </c>
      <c r="S624" s="737">
        <v>4</v>
      </c>
      <c r="T624" s="738">
        <v>0.1111111111111111</v>
      </c>
      <c r="U624" s="737">
        <v>1</v>
      </c>
      <c r="V624" s="738">
        <v>2.7777777777777776E-2</v>
      </c>
    </row>
    <row r="625" spans="2:22" s="33" customFormat="1" ht="21.75" customHeight="1" thickBot="1" x14ac:dyDescent="0.2">
      <c r="B625" s="239">
        <v>37214108</v>
      </c>
      <c r="C625" s="1142" t="s">
        <v>276</v>
      </c>
      <c r="D625" s="1142"/>
      <c r="E625" s="240" t="s">
        <v>269</v>
      </c>
      <c r="F625" s="239" t="s">
        <v>180</v>
      </c>
      <c r="G625" s="1243">
        <v>35</v>
      </c>
      <c r="H625" s="1243"/>
      <c r="I625" s="1246" t="s">
        <v>444</v>
      </c>
      <c r="J625" s="1246"/>
      <c r="K625" s="737">
        <v>5</v>
      </c>
      <c r="L625" s="739">
        <v>0.14285714285714285</v>
      </c>
      <c r="M625" s="737">
        <v>1</v>
      </c>
      <c r="N625" s="739">
        <v>2.8571428571428571E-2</v>
      </c>
      <c r="O625" s="737">
        <v>28</v>
      </c>
      <c r="P625" s="739">
        <v>0.8</v>
      </c>
      <c r="Q625" s="737">
        <v>0</v>
      </c>
      <c r="R625" s="739">
        <v>0</v>
      </c>
      <c r="S625" s="737">
        <v>1</v>
      </c>
      <c r="T625" s="739">
        <v>2.8571428571428571E-2</v>
      </c>
      <c r="U625" s="737">
        <v>0</v>
      </c>
      <c r="V625" s="739">
        <v>0</v>
      </c>
    </row>
    <row r="626" spans="2:22" s="33" customFormat="1" ht="21.75" customHeight="1" thickBot="1" x14ac:dyDescent="0.2">
      <c r="B626" s="239">
        <v>37214110</v>
      </c>
      <c r="C626" s="1142" t="s">
        <v>462</v>
      </c>
      <c r="D626" s="1142"/>
      <c r="E626" s="240" t="s">
        <v>269</v>
      </c>
      <c r="F626" s="239" t="s">
        <v>443</v>
      </c>
      <c r="G626" s="1243">
        <v>35</v>
      </c>
      <c r="H626" s="1243"/>
      <c r="I626" s="1246" t="s">
        <v>444</v>
      </c>
      <c r="J626" s="1246"/>
      <c r="K626" s="737">
        <v>13</v>
      </c>
      <c r="L626" s="739">
        <v>0.37142857142857144</v>
      </c>
      <c r="M626" s="737">
        <v>1</v>
      </c>
      <c r="N626" s="739">
        <v>2.8571428571428571E-2</v>
      </c>
      <c r="O626" s="737">
        <v>8</v>
      </c>
      <c r="P626" s="739">
        <v>0.22857142857142856</v>
      </c>
      <c r="Q626" s="737">
        <v>13</v>
      </c>
      <c r="R626" s="739">
        <v>0.37142857142857144</v>
      </c>
      <c r="S626" s="737">
        <v>0</v>
      </c>
      <c r="T626" s="739">
        <v>0</v>
      </c>
      <c r="U626" s="737">
        <v>0</v>
      </c>
      <c r="V626" s="739">
        <v>0</v>
      </c>
    </row>
    <row r="627" spans="2:22" s="33" customFormat="1" ht="21.75" customHeight="1" thickBot="1" x14ac:dyDescent="0.2">
      <c r="B627" s="239">
        <v>37214112</v>
      </c>
      <c r="C627" s="1142" t="s">
        <v>463</v>
      </c>
      <c r="D627" s="1142"/>
      <c r="E627" s="240" t="s">
        <v>269</v>
      </c>
      <c r="F627" s="239" t="s">
        <v>443</v>
      </c>
      <c r="G627" s="1243">
        <v>42</v>
      </c>
      <c r="H627" s="1243"/>
      <c r="I627" s="1246" t="s">
        <v>444</v>
      </c>
      <c r="J627" s="1246"/>
      <c r="K627" s="737">
        <v>31</v>
      </c>
      <c r="L627" s="739">
        <v>0.73809523809523814</v>
      </c>
      <c r="M627" s="737">
        <v>3</v>
      </c>
      <c r="N627" s="739">
        <v>7.1428571428571425E-2</v>
      </c>
      <c r="O627" s="737">
        <v>7</v>
      </c>
      <c r="P627" s="739">
        <v>0.16666666666666666</v>
      </c>
      <c r="Q627" s="737">
        <v>1</v>
      </c>
      <c r="R627" s="739">
        <v>2.3809523809523808E-2</v>
      </c>
      <c r="S627" s="737">
        <v>0</v>
      </c>
      <c r="T627" s="739">
        <v>0</v>
      </c>
      <c r="U627" s="737">
        <v>0</v>
      </c>
      <c r="V627" s="739">
        <v>0</v>
      </c>
    </row>
    <row r="628" spans="2:22" s="33" customFormat="1" ht="21.75" customHeight="1" thickBot="1" x14ac:dyDescent="0.2">
      <c r="B628" s="239">
        <v>37214114</v>
      </c>
      <c r="C628" s="1142" t="s">
        <v>280</v>
      </c>
      <c r="D628" s="1142"/>
      <c r="E628" s="240" t="s">
        <v>269</v>
      </c>
      <c r="F628" s="239" t="s">
        <v>443</v>
      </c>
      <c r="G628" s="1243">
        <v>39</v>
      </c>
      <c r="H628" s="1243"/>
      <c r="I628" s="1246" t="s">
        <v>444</v>
      </c>
      <c r="J628" s="1246"/>
      <c r="K628" s="737">
        <v>24</v>
      </c>
      <c r="L628" s="739">
        <v>0.61538461538461542</v>
      </c>
      <c r="M628" s="737">
        <v>0</v>
      </c>
      <c r="N628" s="739">
        <v>0</v>
      </c>
      <c r="O628" s="737">
        <v>15</v>
      </c>
      <c r="P628" s="739">
        <v>0.38461538461538464</v>
      </c>
      <c r="Q628" s="737">
        <v>0</v>
      </c>
      <c r="R628" s="739">
        <v>0</v>
      </c>
      <c r="S628" s="737">
        <v>0</v>
      </c>
      <c r="T628" s="739">
        <v>0</v>
      </c>
      <c r="U628" s="737">
        <v>0</v>
      </c>
      <c r="V628" s="739">
        <v>0</v>
      </c>
    </row>
    <row r="629" spans="2:22" s="33" customFormat="1" ht="21.75" customHeight="1" thickBot="1" x14ac:dyDescent="0.2">
      <c r="B629" s="239">
        <v>37214113</v>
      </c>
      <c r="C629" s="1142" t="s">
        <v>464</v>
      </c>
      <c r="D629" s="1142"/>
      <c r="E629" s="240" t="s">
        <v>269</v>
      </c>
      <c r="F629" s="239" t="s">
        <v>443</v>
      </c>
      <c r="G629" s="1243">
        <v>34</v>
      </c>
      <c r="H629" s="1243"/>
      <c r="I629" s="1246" t="s">
        <v>444</v>
      </c>
      <c r="J629" s="1246"/>
      <c r="K629" s="737">
        <v>9</v>
      </c>
      <c r="L629" s="739">
        <v>0.26470588235294118</v>
      </c>
      <c r="M629" s="737">
        <v>2</v>
      </c>
      <c r="N629" s="739">
        <v>5.8823529411764705E-2</v>
      </c>
      <c r="O629" s="737">
        <v>20</v>
      </c>
      <c r="P629" s="739">
        <v>0.58823529411764708</v>
      </c>
      <c r="Q629" s="737">
        <v>3</v>
      </c>
      <c r="R629" s="739">
        <v>8.8235294117647065E-2</v>
      </c>
      <c r="S629" s="737">
        <v>0</v>
      </c>
      <c r="T629" s="739">
        <v>0</v>
      </c>
      <c r="U629" s="737">
        <v>0</v>
      </c>
      <c r="V629" s="739">
        <v>0</v>
      </c>
    </row>
    <row r="630" spans="2:22" s="33" customFormat="1" ht="21.75" customHeight="1" thickBot="1" x14ac:dyDescent="0.2">
      <c r="B630" s="239">
        <v>37214117</v>
      </c>
      <c r="C630" s="1142" t="s">
        <v>283</v>
      </c>
      <c r="D630" s="1142"/>
      <c r="E630" s="240" t="s">
        <v>269</v>
      </c>
      <c r="F630" s="239" t="s">
        <v>443</v>
      </c>
      <c r="G630" s="1243">
        <v>39</v>
      </c>
      <c r="H630" s="1243"/>
      <c r="I630" s="1246" t="s">
        <v>444</v>
      </c>
      <c r="J630" s="1246"/>
      <c r="K630" s="737">
        <v>31</v>
      </c>
      <c r="L630" s="739">
        <v>0.79487179487179482</v>
      </c>
      <c r="M630" s="737">
        <v>0</v>
      </c>
      <c r="N630" s="739">
        <v>0</v>
      </c>
      <c r="O630" s="737">
        <v>7</v>
      </c>
      <c r="P630" s="739">
        <v>0.17948717948717949</v>
      </c>
      <c r="Q630" s="737">
        <v>1</v>
      </c>
      <c r="R630" s="739">
        <v>2.564102564102564E-2</v>
      </c>
      <c r="S630" s="737">
        <v>0</v>
      </c>
      <c r="T630" s="739">
        <v>0</v>
      </c>
      <c r="U630" s="737">
        <v>0</v>
      </c>
      <c r="V630" s="739">
        <v>0</v>
      </c>
    </row>
    <row r="631" spans="2:22" s="33" customFormat="1" ht="21.75" customHeight="1" thickBot="1" x14ac:dyDescent="0.2">
      <c r="B631" s="239">
        <v>37214118</v>
      </c>
      <c r="C631" s="1142" t="s">
        <v>284</v>
      </c>
      <c r="D631" s="1142"/>
      <c r="E631" s="240" t="s">
        <v>269</v>
      </c>
      <c r="F631" s="239" t="s">
        <v>443</v>
      </c>
      <c r="G631" s="1243">
        <v>36</v>
      </c>
      <c r="H631" s="1243"/>
      <c r="I631" s="1246" t="s">
        <v>444</v>
      </c>
      <c r="J631" s="1246"/>
      <c r="K631" s="737">
        <v>25</v>
      </c>
      <c r="L631" s="739">
        <v>0.69444444444444442</v>
      </c>
      <c r="M631" s="737">
        <v>0</v>
      </c>
      <c r="N631" s="739">
        <v>0</v>
      </c>
      <c r="O631" s="737">
        <v>10</v>
      </c>
      <c r="P631" s="739">
        <v>0.27777777777777779</v>
      </c>
      <c r="Q631" s="737">
        <v>0</v>
      </c>
      <c r="R631" s="739">
        <v>0</v>
      </c>
      <c r="S631" s="737">
        <v>1</v>
      </c>
      <c r="T631" s="739">
        <v>2.7777777777777776E-2</v>
      </c>
      <c r="U631" s="737">
        <v>0</v>
      </c>
      <c r="V631" s="739">
        <v>0</v>
      </c>
    </row>
    <row r="632" spans="2:22" s="33" customFormat="1" ht="34.5" customHeight="1" thickBot="1" x14ac:dyDescent="0.2">
      <c r="B632" s="259">
        <v>37214121</v>
      </c>
      <c r="C632" s="1250" t="s">
        <v>465</v>
      </c>
      <c r="D632" s="1250"/>
      <c r="E632" s="260" t="s">
        <v>269</v>
      </c>
      <c r="F632" s="259" t="s">
        <v>443</v>
      </c>
      <c r="G632" s="1247">
        <v>38</v>
      </c>
      <c r="H632" s="1247"/>
      <c r="I632" s="1247" t="s">
        <v>444</v>
      </c>
      <c r="J632" s="1247"/>
      <c r="K632" s="737">
        <v>7</v>
      </c>
      <c r="L632" s="740">
        <v>0.18421052631578946</v>
      </c>
      <c r="M632" s="737">
        <v>0</v>
      </c>
      <c r="N632" s="740">
        <v>0</v>
      </c>
      <c r="O632" s="737">
        <v>31</v>
      </c>
      <c r="P632" s="740">
        <v>0.81578947368421051</v>
      </c>
      <c r="Q632" s="737">
        <v>0</v>
      </c>
      <c r="R632" s="740">
        <v>0</v>
      </c>
      <c r="S632" s="737">
        <v>0</v>
      </c>
      <c r="T632" s="740">
        <v>0</v>
      </c>
      <c r="U632" s="737">
        <v>0</v>
      </c>
      <c r="V632" s="740">
        <v>0</v>
      </c>
    </row>
    <row r="633" spans="2:22" s="33" customFormat="1" ht="21.75" customHeight="1" thickBot="1" x14ac:dyDescent="0.2">
      <c r="B633" s="243">
        <v>37214111</v>
      </c>
      <c r="C633" s="1142" t="s">
        <v>278</v>
      </c>
      <c r="D633" s="1142"/>
      <c r="E633" s="244" t="s">
        <v>269</v>
      </c>
      <c r="F633" s="243" t="s">
        <v>443</v>
      </c>
      <c r="G633" s="1243">
        <v>21</v>
      </c>
      <c r="H633" s="1243"/>
      <c r="I633" s="1243" t="s">
        <v>444</v>
      </c>
      <c r="J633" s="1243"/>
      <c r="K633" s="737">
        <v>19</v>
      </c>
      <c r="L633" s="738">
        <v>0.90476190476190477</v>
      </c>
      <c r="M633" s="737">
        <v>1</v>
      </c>
      <c r="N633" s="738">
        <v>4.7619047619047616E-2</v>
      </c>
      <c r="O633" s="737">
        <v>1</v>
      </c>
      <c r="P633" s="738">
        <v>4.7619047619047616E-2</v>
      </c>
      <c r="Q633" s="737">
        <v>0</v>
      </c>
      <c r="R633" s="738">
        <v>0</v>
      </c>
      <c r="S633" s="737">
        <v>0</v>
      </c>
      <c r="T633" s="738">
        <v>0</v>
      </c>
      <c r="U633" s="737">
        <v>0</v>
      </c>
      <c r="V633" s="738">
        <v>0</v>
      </c>
    </row>
    <row r="634" spans="2:22" s="33" customFormat="1" ht="21.75" customHeight="1" thickBot="1" x14ac:dyDescent="0.2">
      <c r="B634" s="239">
        <v>37214115</v>
      </c>
      <c r="C634" s="1142" t="s">
        <v>282</v>
      </c>
      <c r="D634" s="1142"/>
      <c r="E634" s="240" t="s">
        <v>269</v>
      </c>
      <c r="F634" s="239" t="s">
        <v>443</v>
      </c>
      <c r="G634" s="1243">
        <v>20</v>
      </c>
      <c r="H634" s="1243"/>
      <c r="I634" s="1246" t="s">
        <v>444</v>
      </c>
      <c r="J634" s="1246"/>
      <c r="K634" s="737">
        <v>2</v>
      </c>
      <c r="L634" s="739">
        <v>0.1</v>
      </c>
      <c r="M634" s="737">
        <v>1</v>
      </c>
      <c r="N634" s="739">
        <v>0.05</v>
      </c>
      <c r="O634" s="737">
        <v>17</v>
      </c>
      <c r="P634" s="739">
        <v>0.85</v>
      </c>
      <c r="Q634" s="737">
        <v>0</v>
      </c>
      <c r="R634" s="739">
        <v>0</v>
      </c>
      <c r="S634" s="737">
        <v>0</v>
      </c>
      <c r="T634" s="739">
        <v>0</v>
      </c>
      <c r="U634" s="737">
        <v>0</v>
      </c>
      <c r="V634" s="739">
        <v>0</v>
      </c>
    </row>
    <row r="635" spans="2:22" s="33" customFormat="1" ht="21.75" customHeight="1" thickBot="1" x14ac:dyDescent="0.2">
      <c r="B635" s="239">
        <v>37214119</v>
      </c>
      <c r="C635" s="1142" t="s">
        <v>285</v>
      </c>
      <c r="D635" s="1142"/>
      <c r="E635" s="240" t="s">
        <v>269</v>
      </c>
      <c r="F635" s="239" t="s">
        <v>443</v>
      </c>
      <c r="G635" s="1243">
        <v>24</v>
      </c>
      <c r="H635" s="1243"/>
      <c r="I635" s="1246" t="s">
        <v>444</v>
      </c>
      <c r="J635" s="1246"/>
      <c r="K635" s="737">
        <v>4</v>
      </c>
      <c r="L635" s="739">
        <v>0.16666666666666666</v>
      </c>
      <c r="M635" s="737">
        <v>1</v>
      </c>
      <c r="N635" s="739">
        <v>4.1666666666666664E-2</v>
      </c>
      <c r="O635" s="737">
        <v>18</v>
      </c>
      <c r="P635" s="739">
        <v>0.75</v>
      </c>
      <c r="Q635" s="737">
        <v>1</v>
      </c>
      <c r="R635" s="739">
        <v>4.1666666666666664E-2</v>
      </c>
      <c r="S635" s="737">
        <v>0</v>
      </c>
      <c r="T635" s="739">
        <v>0</v>
      </c>
      <c r="U635" s="737">
        <v>0</v>
      </c>
      <c r="V635" s="739">
        <v>0</v>
      </c>
    </row>
    <row r="636" spans="2:22" s="33" customFormat="1" ht="33.75" customHeight="1" thickBot="1" x14ac:dyDescent="0.2">
      <c r="B636" s="239">
        <v>37214120</v>
      </c>
      <c r="C636" s="1142" t="s">
        <v>466</v>
      </c>
      <c r="D636" s="1142"/>
      <c r="E636" s="240" t="s">
        <v>269</v>
      </c>
      <c r="F636" s="239" t="s">
        <v>443</v>
      </c>
      <c r="G636" s="1243">
        <v>17</v>
      </c>
      <c r="H636" s="1243"/>
      <c r="I636" s="1246" t="s">
        <v>444</v>
      </c>
      <c r="J636" s="1246"/>
      <c r="K636" s="737">
        <v>9</v>
      </c>
      <c r="L636" s="739">
        <v>0.52941176470588236</v>
      </c>
      <c r="M636" s="737">
        <v>0</v>
      </c>
      <c r="N636" s="739">
        <v>0</v>
      </c>
      <c r="O636" s="737">
        <v>8</v>
      </c>
      <c r="P636" s="739">
        <v>0.47058823529411764</v>
      </c>
      <c r="Q636" s="737">
        <v>0</v>
      </c>
      <c r="R636" s="739">
        <v>0</v>
      </c>
      <c r="S636" s="737">
        <v>0</v>
      </c>
      <c r="T636" s="739">
        <v>0</v>
      </c>
      <c r="U636" s="737">
        <v>0</v>
      </c>
      <c r="V636" s="739">
        <v>0</v>
      </c>
    </row>
    <row r="637" spans="2:22" s="33" customFormat="1" ht="31.5" customHeight="1" thickBot="1" x14ac:dyDescent="0.2">
      <c r="B637" s="239">
        <v>37214202</v>
      </c>
      <c r="C637" s="1143" t="s">
        <v>1454</v>
      </c>
      <c r="D637" s="1143"/>
      <c r="E637" s="240" t="s">
        <v>286</v>
      </c>
      <c r="F637" s="239" t="s">
        <v>443</v>
      </c>
      <c r="G637" s="1243">
        <v>16</v>
      </c>
      <c r="H637" s="1243"/>
      <c r="I637" s="1246" t="s">
        <v>444</v>
      </c>
      <c r="J637" s="1246"/>
      <c r="K637" s="737">
        <v>3</v>
      </c>
      <c r="L637" s="739">
        <v>0.1875</v>
      </c>
      <c r="M637" s="737">
        <v>0</v>
      </c>
      <c r="N637" s="739">
        <v>0</v>
      </c>
      <c r="O637" s="737">
        <v>13</v>
      </c>
      <c r="P637" s="739">
        <v>0.8125</v>
      </c>
      <c r="Q637" s="737">
        <v>0</v>
      </c>
      <c r="R637" s="739">
        <v>0</v>
      </c>
      <c r="S637" s="737">
        <v>0</v>
      </c>
      <c r="T637" s="739">
        <v>0</v>
      </c>
      <c r="U637" s="737">
        <v>0</v>
      </c>
      <c r="V637" s="739">
        <v>0</v>
      </c>
    </row>
    <row r="638" spans="2:22" s="33" customFormat="1" ht="29.25" customHeight="1" thickBot="1" x14ac:dyDescent="0.2">
      <c r="B638" s="239">
        <v>37214203</v>
      </c>
      <c r="C638" s="1142" t="s">
        <v>469</v>
      </c>
      <c r="D638" s="1142"/>
      <c r="E638" s="240" t="s">
        <v>286</v>
      </c>
      <c r="F638" s="239" t="s">
        <v>443</v>
      </c>
      <c r="G638" s="1243">
        <v>10</v>
      </c>
      <c r="H638" s="1243"/>
      <c r="I638" s="1246" t="s">
        <v>444</v>
      </c>
      <c r="J638" s="1246"/>
      <c r="K638" s="737">
        <v>3</v>
      </c>
      <c r="L638" s="739">
        <v>0.3</v>
      </c>
      <c r="M638" s="737">
        <v>0</v>
      </c>
      <c r="N638" s="739">
        <v>0</v>
      </c>
      <c r="O638" s="737">
        <v>7</v>
      </c>
      <c r="P638" s="739">
        <v>0.7</v>
      </c>
      <c r="Q638" s="737">
        <v>0</v>
      </c>
      <c r="R638" s="739">
        <v>0</v>
      </c>
      <c r="S638" s="737">
        <v>0</v>
      </c>
      <c r="T638" s="739">
        <v>0</v>
      </c>
      <c r="U638" s="737">
        <v>0</v>
      </c>
      <c r="V638" s="739">
        <v>0</v>
      </c>
    </row>
    <row r="639" spans="2:22" s="33" customFormat="1" ht="29.25" customHeight="1" thickBot="1" x14ac:dyDescent="0.2">
      <c r="B639" s="239">
        <v>37214204</v>
      </c>
      <c r="C639" s="1142" t="s">
        <v>754</v>
      </c>
      <c r="D639" s="1142"/>
      <c r="E639" s="240" t="s">
        <v>286</v>
      </c>
      <c r="F639" s="239" t="s">
        <v>443</v>
      </c>
      <c r="G639" s="1243">
        <v>7</v>
      </c>
      <c r="H639" s="1243"/>
      <c r="I639" s="1246" t="s">
        <v>444</v>
      </c>
      <c r="J639" s="1246"/>
      <c r="K639" s="737">
        <v>2</v>
      </c>
      <c r="L639" s="739">
        <v>0.2857142857142857</v>
      </c>
      <c r="M639" s="737">
        <v>0</v>
      </c>
      <c r="N639" s="739">
        <v>0</v>
      </c>
      <c r="O639" s="737">
        <v>5</v>
      </c>
      <c r="P639" s="739">
        <v>0.7142857142857143</v>
      </c>
      <c r="Q639" s="737">
        <v>0</v>
      </c>
      <c r="R639" s="739">
        <v>0</v>
      </c>
      <c r="S639" s="737">
        <v>0</v>
      </c>
      <c r="T639" s="739">
        <v>0</v>
      </c>
      <c r="U639" s="737">
        <v>0</v>
      </c>
      <c r="V639" s="739">
        <v>0</v>
      </c>
    </row>
    <row r="640" spans="2:22" s="33" customFormat="1" ht="29.25" customHeight="1" thickBot="1" x14ac:dyDescent="0.2">
      <c r="B640" s="239">
        <v>37214206</v>
      </c>
      <c r="C640" s="1142" t="s">
        <v>469</v>
      </c>
      <c r="D640" s="1142"/>
      <c r="E640" s="240" t="s">
        <v>286</v>
      </c>
      <c r="F640" s="239" t="s">
        <v>443</v>
      </c>
      <c r="G640" s="1243">
        <v>9</v>
      </c>
      <c r="H640" s="1243"/>
      <c r="I640" s="1246" t="s">
        <v>444</v>
      </c>
      <c r="J640" s="1246"/>
      <c r="K640" s="737">
        <v>1</v>
      </c>
      <c r="L640" s="739">
        <v>0.1111111111111111</v>
      </c>
      <c r="M640" s="737">
        <v>0</v>
      </c>
      <c r="N640" s="739">
        <v>0</v>
      </c>
      <c r="O640" s="737">
        <v>4</v>
      </c>
      <c r="P640" s="739">
        <v>0.44444444444444442</v>
      </c>
      <c r="Q640" s="737">
        <v>0</v>
      </c>
      <c r="R640" s="739">
        <v>0</v>
      </c>
      <c r="S640" s="737">
        <v>3</v>
      </c>
      <c r="T640" s="739">
        <v>0.33333333333333331</v>
      </c>
      <c r="U640" s="737">
        <v>1</v>
      </c>
      <c r="V640" s="739">
        <v>0.1111111111111111</v>
      </c>
    </row>
    <row r="641" spans="2:22" s="33" customFormat="1" ht="21.75" customHeight="1" thickBot="1" x14ac:dyDescent="0.2">
      <c r="B641" s="239">
        <v>37214401</v>
      </c>
      <c r="C641" s="1143" t="s">
        <v>288</v>
      </c>
      <c r="D641" s="1143"/>
      <c r="E641" s="240" t="s">
        <v>269</v>
      </c>
      <c r="F641" s="239" t="s">
        <v>443</v>
      </c>
      <c r="G641" s="1243">
        <v>20</v>
      </c>
      <c r="H641" s="1243"/>
      <c r="I641" s="1246" t="s">
        <v>471</v>
      </c>
      <c r="J641" s="1246"/>
      <c r="K641" s="737">
        <v>0</v>
      </c>
      <c r="L641" s="739">
        <v>0</v>
      </c>
      <c r="M641" s="737">
        <v>0</v>
      </c>
      <c r="N641" s="739">
        <v>0</v>
      </c>
      <c r="O641" s="737">
        <v>10</v>
      </c>
      <c r="P641" s="739">
        <v>0.5</v>
      </c>
      <c r="Q641" s="737">
        <v>0</v>
      </c>
      <c r="R641" s="739">
        <v>0</v>
      </c>
      <c r="S641" s="737">
        <v>9</v>
      </c>
      <c r="T641" s="739">
        <v>0.45</v>
      </c>
      <c r="U641" s="737">
        <v>1</v>
      </c>
      <c r="V641" s="739">
        <v>0.05</v>
      </c>
    </row>
    <row r="642" spans="2:22" s="33" customFormat="1" ht="21.75" customHeight="1" thickBot="1" x14ac:dyDescent="0.2">
      <c r="B642" s="241">
        <v>37214301</v>
      </c>
      <c r="C642" s="1255" t="s">
        <v>472</v>
      </c>
      <c r="D642" s="1255"/>
      <c r="E642" s="242" t="s">
        <v>269</v>
      </c>
      <c r="F642" s="241" t="s">
        <v>443</v>
      </c>
      <c r="G642" s="1253">
        <v>27</v>
      </c>
      <c r="H642" s="1253"/>
      <c r="I642" s="1288" t="s">
        <v>471</v>
      </c>
      <c r="J642" s="1288"/>
      <c r="K642" s="737">
        <v>9</v>
      </c>
      <c r="L642" s="741">
        <v>0.33333333333333331</v>
      </c>
      <c r="M642" s="737">
        <v>7</v>
      </c>
      <c r="N642" s="741">
        <v>0.25925925925925924</v>
      </c>
      <c r="O642" s="737">
        <v>7</v>
      </c>
      <c r="P642" s="741">
        <v>0.25925925925925924</v>
      </c>
      <c r="Q642" s="737">
        <v>1</v>
      </c>
      <c r="R642" s="741">
        <v>3.7037037037037035E-2</v>
      </c>
      <c r="S642" s="737">
        <v>2</v>
      </c>
      <c r="T642" s="741">
        <v>7.407407407407407E-2</v>
      </c>
      <c r="U642" s="737">
        <v>1</v>
      </c>
      <c r="V642" s="741">
        <v>3.7037037037037035E-2</v>
      </c>
    </row>
    <row r="643" spans="2:22" s="33" customFormat="1" ht="12.75" customHeight="1" thickBot="1" x14ac:dyDescent="0.2">
      <c r="C643" s="1287" t="s">
        <v>473</v>
      </c>
      <c r="D643" s="1287"/>
      <c r="E643" s="237"/>
      <c r="F643" s="237"/>
      <c r="G643" s="1290">
        <v>1423</v>
      </c>
      <c r="H643" s="1290"/>
      <c r="I643" s="736"/>
      <c r="J643" s="736"/>
      <c r="K643" s="742">
        <v>579</v>
      </c>
      <c r="L643" s="743"/>
      <c r="M643" s="742">
        <v>81</v>
      </c>
      <c r="N643" s="743"/>
      <c r="O643" s="742">
        <v>501</v>
      </c>
      <c r="P643" s="743"/>
      <c r="Q643" s="742">
        <v>229</v>
      </c>
      <c r="R643" s="743"/>
      <c r="S643" s="742">
        <v>27</v>
      </c>
      <c r="T643" s="743"/>
      <c r="U643" s="742">
        <v>6</v>
      </c>
      <c r="V643" s="592"/>
    </row>
    <row r="644" spans="2:22" s="33" customFormat="1" ht="14.25" customHeight="1" x14ac:dyDescent="0.15">
      <c r="C644" s="1286" t="s">
        <v>474</v>
      </c>
      <c r="D644" s="1286"/>
      <c r="E644" s="237"/>
      <c r="F644" s="237"/>
      <c r="G644" s="1289">
        <v>455</v>
      </c>
      <c r="H644" s="1289"/>
      <c r="I644" s="736"/>
      <c r="J644" s="736"/>
      <c r="K644" s="744">
        <v>171</v>
      </c>
      <c r="L644" s="743"/>
      <c r="M644" s="744">
        <v>34</v>
      </c>
      <c r="N644" s="743"/>
      <c r="O644" s="744">
        <v>155</v>
      </c>
      <c r="P644" s="743"/>
      <c r="Q644" s="744">
        <v>91</v>
      </c>
      <c r="R644" s="743"/>
      <c r="S644" s="744">
        <v>2</v>
      </c>
      <c r="T644" s="743"/>
      <c r="U644" s="744">
        <v>2</v>
      </c>
      <c r="V644" s="592"/>
    </row>
    <row r="645" spans="2:22" s="33" customFormat="1" ht="14.25" customHeight="1" x14ac:dyDescent="0.15">
      <c r="C645" s="654"/>
      <c r="D645" s="654"/>
      <c r="E645" s="237"/>
      <c r="F645" s="237"/>
      <c r="G645" s="655"/>
      <c r="H645" s="655"/>
      <c r="K645" s="655"/>
      <c r="L645" s="592"/>
      <c r="M645" s="655"/>
      <c r="N645" s="592"/>
      <c r="O645" s="655"/>
      <c r="P645" s="592"/>
      <c r="Q645" s="655"/>
      <c r="R645" s="592"/>
      <c r="S645" s="655"/>
      <c r="T645" s="592"/>
      <c r="U645" s="655"/>
      <c r="V645" s="592"/>
    </row>
    <row r="646" spans="2:22" s="33" customFormat="1" ht="14.25" customHeight="1" x14ac:dyDescent="0.15">
      <c r="C646" s="654"/>
      <c r="D646" s="654"/>
      <c r="E646" s="237"/>
      <c r="F646" s="237"/>
      <c r="G646" s="655"/>
      <c r="H646" s="655"/>
      <c r="K646" s="655"/>
      <c r="L646" s="592"/>
      <c r="M646" s="655"/>
      <c r="N646" s="592"/>
      <c r="O646" s="655"/>
      <c r="P646" s="592"/>
      <c r="Q646" s="655"/>
      <c r="R646" s="592"/>
      <c r="S646" s="655"/>
      <c r="T646" s="592"/>
      <c r="U646" s="655"/>
      <c r="V646" s="592"/>
    </row>
    <row r="647" spans="2:22" x14ac:dyDescent="0.25">
      <c r="B647" s="33"/>
      <c r="D647" s="48"/>
      <c r="E647" s="48"/>
    </row>
    <row r="648" spans="2:22" ht="15" customHeight="1" x14ac:dyDescent="0.25">
      <c r="B648" s="1251" t="s">
        <v>8</v>
      </c>
      <c r="C648" s="1252" t="s">
        <v>8</v>
      </c>
      <c r="D648" s="1252"/>
      <c r="E648" s="1252"/>
      <c r="F648" s="1252"/>
      <c r="G648" s="1252"/>
      <c r="H648" s="1252"/>
      <c r="I648" s="1252"/>
      <c r="J648" s="1252"/>
      <c r="K648" s="1252"/>
      <c r="L648" s="1252"/>
      <c r="M648" s="1252"/>
      <c r="N648" s="1252"/>
      <c r="O648" s="1252"/>
      <c r="P648" s="1252"/>
      <c r="Q648" s="1252"/>
      <c r="R648" s="1252"/>
      <c r="S648" s="1252"/>
      <c r="T648" s="1252"/>
      <c r="U648" s="1252"/>
      <c r="V648" s="1252"/>
    </row>
    <row r="649" spans="2:22" ht="15" customHeight="1" x14ac:dyDescent="0.25">
      <c r="B649" s="777" t="s">
        <v>294</v>
      </c>
      <c r="C649" s="777" t="s">
        <v>249</v>
      </c>
      <c r="D649" s="777"/>
      <c r="E649" s="777" t="s">
        <v>431</v>
      </c>
      <c r="F649" s="777" t="s">
        <v>432</v>
      </c>
      <c r="G649" s="777" t="s">
        <v>433</v>
      </c>
      <c r="H649" s="777"/>
      <c r="I649" s="777" t="s">
        <v>434</v>
      </c>
      <c r="J649" s="777"/>
      <c r="K649" s="778" t="s">
        <v>435</v>
      </c>
      <c r="L649" s="778"/>
      <c r="M649" s="778"/>
      <c r="N649" s="778"/>
      <c r="O649" s="778"/>
      <c r="P649" s="778"/>
      <c r="Q649" s="778"/>
      <c r="R649" s="778"/>
      <c r="S649" s="778"/>
      <c r="T649" s="778"/>
      <c r="U649" s="778"/>
      <c r="V649" s="778"/>
    </row>
    <row r="650" spans="2:22" ht="15" customHeight="1" x14ac:dyDescent="0.25">
      <c r="B650" s="778"/>
      <c r="C650" s="778"/>
      <c r="D650" s="778"/>
      <c r="E650" s="778"/>
      <c r="F650" s="778"/>
      <c r="G650" s="778"/>
      <c r="H650" s="778"/>
      <c r="I650" s="778"/>
      <c r="J650" s="778"/>
      <c r="K650" s="781" t="s">
        <v>436</v>
      </c>
      <c r="L650" s="781"/>
      <c r="M650" s="781" t="s">
        <v>437</v>
      </c>
      <c r="N650" s="781"/>
      <c r="O650" s="781" t="s">
        <v>438</v>
      </c>
      <c r="P650" s="781"/>
      <c r="Q650" s="781" t="s">
        <v>439</v>
      </c>
      <c r="R650" s="781"/>
      <c r="S650" s="781" t="s">
        <v>440</v>
      </c>
      <c r="T650" s="781"/>
      <c r="U650" s="781" t="s">
        <v>441</v>
      </c>
      <c r="V650" s="781"/>
    </row>
    <row r="651" spans="2:22" ht="21.75" thickBot="1" x14ac:dyDescent="0.3">
      <c r="B651" s="243">
        <v>37204010</v>
      </c>
      <c r="C651" s="1142" t="s">
        <v>521</v>
      </c>
      <c r="D651" s="1142"/>
      <c r="E651" s="244" t="s">
        <v>259</v>
      </c>
      <c r="F651" s="243" t="s">
        <v>180</v>
      </c>
      <c r="G651" s="1243">
        <v>106</v>
      </c>
      <c r="H651" s="1243"/>
      <c r="I651" s="1243" t="s">
        <v>444</v>
      </c>
      <c r="J651" s="1243"/>
      <c r="K651" s="737">
        <v>48</v>
      </c>
      <c r="L651" s="738">
        <v>0.45283018867924529</v>
      </c>
      <c r="M651" s="737">
        <v>7</v>
      </c>
      <c r="N651" s="738">
        <v>6.6037735849056603E-2</v>
      </c>
      <c r="O651" s="737">
        <v>27</v>
      </c>
      <c r="P651" s="738">
        <v>0.25471698113207547</v>
      </c>
      <c r="Q651" s="737">
        <v>24</v>
      </c>
      <c r="R651" s="738">
        <v>0.22641509433962265</v>
      </c>
      <c r="S651" s="737">
        <v>0</v>
      </c>
      <c r="T651" s="738">
        <v>0</v>
      </c>
      <c r="U651" s="737">
        <v>0</v>
      </c>
      <c r="V651" s="738">
        <v>0</v>
      </c>
    </row>
    <row r="652" spans="2:22" ht="21.75" thickBot="1" x14ac:dyDescent="0.3">
      <c r="B652" s="243">
        <v>37204004</v>
      </c>
      <c r="C652" s="1142" t="s">
        <v>521</v>
      </c>
      <c r="D652" s="1142"/>
      <c r="E652" s="244" t="s">
        <v>259</v>
      </c>
      <c r="F652" s="243" t="s">
        <v>180</v>
      </c>
      <c r="G652" s="1243">
        <v>3</v>
      </c>
      <c r="H652" s="1243"/>
      <c r="I652" s="1243" t="s">
        <v>444</v>
      </c>
      <c r="J652" s="1243"/>
      <c r="K652" s="737">
        <v>0</v>
      </c>
      <c r="L652" s="738">
        <v>0</v>
      </c>
      <c r="M652" s="737">
        <v>2</v>
      </c>
      <c r="N652" s="738">
        <v>0.66666666666666663</v>
      </c>
      <c r="O652" s="737">
        <v>0</v>
      </c>
      <c r="P652" s="738">
        <v>0</v>
      </c>
      <c r="Q652" s="737">
        <v>1</v>
      </c>
      <c r="R652" s="738">
        <v>0.33333333333333331</v>
      </c>
      <c r="S652" s="737">
        <v>0</v>
      </c>
      <c r="T652" s="738">
        <v>0</v>
      </c>
      <c r="U652" s="737">
        <v>0</v>
      </c>
      <c r="V652" s="738">
        <v>0</v>
      </c>
    </row>
    <row r="653" spans="2:22" ht="21.75" thickBot="1" x14ac:dyDescent="0.3">
      <c r="B653" s="239">
        <v>37204012</v>
      </c>
      <c r="C653" s="1142" t="s">
        <v>896</v>
      </c>
      <c r="D653" s="1142"/>
      <c r="E653" s="240" t="s">
        <v>259</v>
      </c>
      <c r="F653" s="239" t="s">
        <v>443</v>
      </c>
      <c r="G653" s="1243">
        <v>86</v>
      </c>
      <c r="H653" s="1243"/>
      <c r="I653" s="1246" t="s">
        <v>444</v>
      </c>
      <c r="J653" s="1246"/>
      <c r="K653" s="737">
        <v>51</v>
      </c>
      <c r="L653" s="738">
        <v>0.59302325581395354</v>
      </c>
      <c r="M653" s="737">
        <v>5</v>
      </c>
      <c r="N653" s="738">
        <v>5.8139534883720929E-2</v>
      </c>
      <c r="O653" s="737">
        <v>14</v>
      </c>
      <c r="P653" s="738">
        <v>0.16279069767441862</v>
      </c>
      <c r="Q653" s="737">
        <v>15</v>
      </c>
      <c r="R653" s="738">
        <v>0.1744186046511628</v>
      </c>
      <c r="S653" s="737">
        <v>1</v>
      </c>
      <c r="T653" s="738">
        <v>1.1627906976744186E-2</v>
      </c>
      <c r="U653" s="737">
        <v>0</v>
      </c>
      <c r="V653" s="738">
        <v>0</v>
      </c>
    </row>
    <row r="654" spans="2:22" ht="21.75" thickBot="1" x14ac:dyDescent="0.3">
      <c r="B654" s="239">
        <v>37204011</v>
      </c>
      <c r="C654" s="1142" t="s">
        <v>522</v>
      </c>
      <c r="D654" s="1142"/>
      <c r="E654" s="240" t="s">
        <v>259</v>
      </c>
      <c r="F654" s="239" t="s">
        <v>443</v>
      </c>
      <c r="G654" s="1243">
        <v>96</v>
      </c>
      <c r="H654" s="1243"/>
      <c r="I654" s="1246" t="s">
        <v>444</v>
      </c>
      <c r="J654" s="1246"/>
      <c r="K654" s="737">
        <v>51</v>
      </c>
      <c r="L654" s="738">
        <v>0.53125</v>
      </c>
      <c r="M654" s="737">
        <v>7</v>
      </c>
      <c r="N654" s="738">
        <v>7.2916666666666671E-2</v>
      </c>
      <c r="O654" s="737">
        <v>14</v>
      </c>
      <c r="P654" s="738">
        <v>0.14583333333333334</v>
      </c>
      <c r="Q654" s="737">
        <v>22</v>
      </c>
      <c r="R654" s="738">
        <v>0.22916666666666666</v>
      </c>
      <c r="S654" s="737">
        <v>1</v>
      </c>
      <c r="T654" s="738">
        <v>1.0416666666666666E-2</v>
      </c>
      <c r="U654" s="737">
        <v>1</v>
      </c>
      <c r="V654" s="738">
        <v>1.0416666666666666E-2</v>
      </c>
    </row>
    <row r="655" spans="2:22" ht="21.75" thickBot="1" x14ac:dyDescent="0.3">
      <c r="B655" s="243">
        <v>37204005</v>
      </c>
      <c r="C655" s="1142" t="s">
        <v>522</v>
      </c>
      <c r="D655" s="1142"/>
      <c r="E655" s="244" t="s">
        <v>259</v>
      </c>
      <c r="F655" s="239" t="s">
        <v>443</v>
      </c>
      <c r="G655" s="1243">
        <v>1</v>
      </c>
      <c r="H655" s="1243"/>
      <c r="I655" s="1243" t="s">
        <v>444</v>
      </c>
      <c r="J655" s="1243"/>
      <c r="K655" s="737">
        <v>0</v>
      </c>
      <c r="L655" s="738">
        <v>0</v>
      </c>
      <c r="M655" s="737">
        <v>1</v>
      </c>
      <c r="N655" s="738">
        <v>1</v>
      </c>
      <c r="O655" s="737">
        <v>0</v>
      </c>
      <c r="P655" s="738">
        <v>0</v>
      </c>
      <c r="Q655" s="737">
        <v>0</v>
      </c>
      <c r="R655" s="738">
        <v>0</v>
      </c>
      <c r="S655" s="737">
        <v>0</v>
      </c>
      <c r="T655" s="738">
        <v>0</v>
      </c>
      <c r="U655" s="737">
        <v>0</v>
      </c>
      <c r="V655" s="738">
        <v>0</v>
      </c>
    </row>
    <row r="656" spans="2:22" ht="21.75" thickBot="1" x14ac:dyDescent="0.3">
      <c r="B656" s="239">
        <v>37204013</v>
      </c>
      <c r="C656" s="1142" t="s">
        <v>897</v>
      </c>
      <c r="D656" s="1142"/>
      <c r="E656" s="240" t="s">
        <v>259</v>
      </c>
      <c r="F656" s="239" t="s">
        <v>443</v>
      </c>
      <c r="G656" s="1243">
        <v>72</v>
      </c>
      <c r="H656" s="1243"/>
      <c r="I656" s="1246" t="s">
        <v>444</v>
      </c>
      <c r="J656" s="1246"/>
      <c r="K656" s="737">
        <v>30</v>
      </c>
      <c r="L656" s="738">
        <v>0.41666666666666669</v>
      </c>
      <c r="M656" s="737">
        <v>5</v>
      </c>
      <c r="N656" s="738">
        <v>6.9444444444444448E-2</v>
      </c>
      <c r="O656" s="737">
        <v>24</v>
      </c>
      <c r="P656" s="738">
        <v>0.33333333333333331</v>
      </c>
      <c r="Q656" s="737">
        <v>11</v>
      </c>
      <c r="R656" s="738">
        <v>0.15277777777777779</v>
      </c>
      <c r="S656" s="737">
        <v>2</v>
      </c>
      <c r="T656" s="738">
        <v>2.7777777777777776E-2</v>
      </c>
      <c r="U656" s="737">
        <v>0</v>
      </c>
      <c r="V656" s="738">
        <v>0</v>
      </c>
    </row>
    <row r="657" spans="2:22" ht="24.75" customHeight="1" thickBot="1" x14ac:dyDescent="0.3">
      <c r="B657" s="239">
        <v>37204002</v>
      </c>
      <c r="C657" s="1142" t="s">
        <v>523</v>
      </c>
      <c r="D657" s="1142"/>
      <c r="E657" s="240" t="s">
        <v>259</v>
      </c>
      <c r="F657" s="239" t="s">
        <v>180</v>
      </c>
      <c r="G657" s="1243">
        <v>100</v>
      </c>
      <c r="H657" s="1243"/>
      <c r="I657" s="1246" t="s">
        <v>444</v>
      </c>
      <c r="J657" s="1246"/>
      <c r="K657" s="737">
        <v>44</v>
      </c>
      <c r="L657" s="738">
        <v>0.44</v>
      </c>
      <c r="M657" s="737">
        <v>4</v>
      </c>
      <c r="N657" s="738">
        <v>0.04</v>
      </c>
      <c r="O657" s="737">
        <v>18</v>
      </c>
      <c r="P657" s="738">
        <v>0.18</v>
      </c>
      <c r="Q657" s="737">
        <v>34</v>
      </c>
      <c r="R657" s="738">
        <v>0.34</v>
      </c>
      <c r="S657" s="737">
        <v>0</v>
      </c>
      <c r="T657" s="738">
        <v>0</v>
      </c>
      <c r="U657" s="737">
        <v>0</v>
      </c>
      <c r="V657" s="738">
        <v>0</v>
      </c>
    </row>
    <row r="658" spans="2:22" ht="36.75" customHeight="1" thickBot="1" x14ac:dyDescent="0.3">
      <c r="B658" s="239">
        <v>37204006</v>
      </c>
      <c r="C658" s="1142" t="s">
        <v>524</v>
      </c>
      <c r="D658" s="1142"/>
      <c r="E658" s="240" t="s">
        <v>259</v>
      </c>
      <c r="F658" s="239" t="s">
        <v>443</v>
      </c>
      <c r="G658" s="1243">
        <v>84</v>
      </c>
      <c r="H658" s="1243"/>
      <c r="I658" s="1246" t="s">
        <v>444</v>
      </c>
      <c r="J658" s="1246"/>
      <c r="K658" s="737">
        <v>59</v>
      </c>
      <c r="L658" s="738">
        <v>0.70238095238095233</v>
      </c>
      <c r="M658" s="737">
        <v>4</v>
      </c>
      <c r="N658" s="738">
        <v>4.7619047619047616E-2</v>
      </c>
      <c r="O658" s="737">
        <v>16</v>
      </c>
      <c r="P658" s="738">
        <v>0.19047619047619047</v>
      </c>
      <c r="Q658" s="737">
        <v>5</v>
      </c>
      <c r="R658" s="738">
        <v>5.9523809523809521E-2</v>
      </c>
      <c r="S658" s="737">
        <v>0</v>
      </c>
      <c r="T658" s="738">
        <v>0</v>
      </c>
      <c r="U658" s="737">
        <v>0</v>
      </c>
      <c r="V658" s="738">
        <v>0</v>
      </c>
    </row>
    <row r="659" spans="2:22" ht="34.5" customHeight="1" thickBot="1" x14ac:dyDescent="0.3">
      <c r="B659" s="239">
        <v>37204003</v>
      </c>
      <c r="C659" s="1142" t="s">
        <v>525</v>
      </c>
      <c r="D659" s="1142"/>
      <c r="E659" s="240" t="s">
        <v>259</v>
      </c>
      <c r="F659" s="239" t="s">
        <v>443</v>
      </c>
      <c r="G659" s="1243">
        <v>122</v>
      </c>
      <c r="H659" s="1243"/>
      <c r="I659" s="1246" t="s">
        <v>444</v>
      </c>
      <c r="J659" s="1246"/>
      <c r="K659" s="737">
        <v>45</v>
      </c>
      <c r="L659" s="738">
        <v>0.36885245901639346</v>
      </c>
      <c r="M659" s="737">
        <v>4</v>
      </c>
      <c r="N659" s="738">
        <v>3.2786885245901641E-2</v>
      </c>
      <c r="O659" s="737">
        <v>4</v>
      </c>
      <c r="P659" s="738">
        <v>3.2786885245901641E-2</v>
      </c>
      <c r="Q659" s="737">
        <v>69</v>
      </c>
      <c r="R659" s="738">
        <v>0.56557377049180324</v>
      </c>
      <c r="S659" s="737">
        <v>0</v>
      </c>
      <c r="T659" s="738">
        <v>0</v>
      </c>
      <c r="U659" s="737">
        <v>0</v>
      </c>
      <c r="V659" s="738">
        <v>0</v>
      </c>
    </row>
    <row r="660" spans="2:22" ht="21" customHeight="1" thickBot="1" x14ac:dyDescent="0.3">
      <c r="B660" s="239">
        <v>37204001</v>
      </c>
      <c r="C660" s="1142" t="s">
        <v>526</v>
      </c>
      <c r="D660" s="1142"/>
      <c r="E660" s="240" t="s">
        <v>259</v>
      </c>
      <c r="F660" s="239" t="s">
        <v>180</v>
      </c>
      <c r="G660" s="1243">
        <v>117</v>
      </c>
      <c r="H660" s="1243"/>
      <c r="I660" s="1246" t="s">
        <v>444</v>
      </c>
      <c r="J660" s="1246"/>
      <c r="K660" s="737">
        <v>48</v>
      </c>
      <c r="L660" s="738">
        <v>0.41025641025641024</v>
      </c>
      <c r="M660" s="737">
        <v>11</v>
      </c>
      <c r="N660" s="738">
        <v>9.4017094017094016E-2</v>
      </c>
      <c r="O660" s="737">
        <v>12</v>
      </c>
      <c r="P660" s="738">
        <v>0.10256410256410256</v>
      </c>
      <c r="Q660" s="737">
        <v>46</v>
      </c>
      <c r="R660" s="738">
        <v>0.39316239316239315</v>
      </c>
      <c r="S660" s="737">
        <v>0</v>
      </c>
      <c r="T660" s="738">
        <v>0</v>
      </c>
      <c r="U660" s="737">
        <v>0</v>
      </c>
      <c r="V660" s="738">
        <v>0</v>
      </c>
    </row>
    <row r="661" spans="2:22" ht="28.5" customHeight="1" thickBot="1" x14ac:dyDescent="0.3">
      <c r="B661" s="239">
        <v>37204112</v>
      </c>
      <c r="C661" s="1142" t="s">
        <v>527</v>
      </c>
      <c r="D661" s="1142"/>
      <c r="E661" s="240" t="s">
        <v>269</v>
      </c>
      <c r="F661" s="239" t="s">
        <v>180</v>
      </c>
      <c r="G661" s="1243">
        <v>80</v>
      </c>
      <c r="H661" s="1243"/>
      <c r="I661" s="1246" t="s">
        <v>444</v>
      </c>
      <c r="J661" s="1246"/>
      <c r="K661" s="737">
        <v>49</v>
      </c>
      <c r="L661" s="738">
        <v>0.61250000000000004</v>
      </c>
      <c r="M661" s="737">
        <v>3</v>
      </c>
      <c r="N661" s="738">
        <v>3.7499999999999999E-2</v>
      </c>
      <c r="O661" s="737">
        <v>21</v>
      </c>
      <c r="P661" s="738">
        <v>0.26250000000000001</v>
      </c>
      <c r="Q661" s="737">
        <v>7</v>
      </c>
      <c r="R661" s="738">
        <v>8.7499999999999994E-2</v>
      </c>
      <c r="S661" s="737">
        <v>0</v>
      </c>
      <c r="T661" s="738">
        <v>0</v>
      </c>
      <c r="U661" s="737">
        <v>0</v>
      </c>
      <c r="V661" s="738">
        <v>0</v>
      </c>
    </row>
    <row r="662" spans="2:22" ht="38.25" customHeight="1" thickBot="1" x14ac:dyDescent="0.3">
      <c r="B662" s="239">
        <v>37204122</v>
      </c>
      <c r="C662" s="1142" t="s">
        <v>528</v>
      </c>
      <c r="D662" s="1142"/>
      <c r="E662" s="240" t="s">
        <v>269</v>
      </c>
      <c r="F662" s="239" t="s">
        <v>443</v>
      </c>
      <c r="G662" s="1243">
        <v>69</v>
      </c>
      <c r="H662" s="1243"/>
      <c r="I662" s="1246" t="s">
        <v>444</v>
      </c>
      <c r="J662" s="1246"/>
      <c r="K662" s="737">
        <v>24</v>
      </c>
      <c r="L662" s="738">
        <v>0.34782608695652173</v>
      </c>
      <c r="M662" s="737">
        <v>2</v>
      </c>
      <c r="N662" s="738">
        <v>2.8985507246376812E-2</v>
      </c>
      <c r="O662" s="737">
        <v>43</v>
      </c>
      <c r="P662" s="738">
        <v>0.62318840579710144</v>
      </c>
      <c r="Q662" s="737">
        <v>0</v>
      </c>
      <c r="R662" s="738">
        <v>0</v>
      </c>
      <c r="S662" s="737">
        <v>0</v>
      </c>
      <c r="T662" s="738">
        <v>0</v>
      </c>
      <c r="U662" s="737">
        <v>0</v>
      </c>
      <c r="V662" s="738">
        <v>0</v>
      </c>
    </row>
    <row r="663" spans="2:22" ht="38.25" customHeight="1" thickBot="1" x14ac:dyDescent="0.3">
      <c r="B663" s="239">
        <v>37204123</v>
      </c>
      <c r="C663" s="1142" t="s">
        <v>529</v>
      </c>
      <c r="D663" s="1142"/>
      <c r="E663" s="240" t="s">
        <v>269</v>
      </c>
      <c r="F663" s="239" t="s">
        <v>443</v>
      </c>
      <c r="G663" s="1243">
        <v>71</v>
      </c>
      <c r="H663" s="1243"/>
      <c r="I663" s="1246" t="s">
        <v>444</v>
      </c>
      <c r="J663" s="1246"/>
      <c r="K663" s="737">
        <v>29</v>
      </c>
      <c r="L663" s="738">
        <v>0.40845070422535212</v>
      </c>
      <c r="M663" s="737">
        <v>4</v>
      </c>
      <c r="N663" s="738">
        <v>5.6338028169014086E-2</v>
      </c>
      <c r="O663" s="737">
        <v>37</v>
      </c>
      <c r="P663" s="738">
        <v>0.52112676056338025</v>
      </c>
      <c r="Q663" s="737">
        <v>1</v>
      </c>
      <c r="R663" s="738">
        <v>1.4084507042253521E-2</v>
      </c>
      <c r="S663" s="737">
        <v>0</v>
      </c>
      <c r="T663" s="738">
        <v>0</v>
      </c>
      <c r="U663" s="737">
        <v>0</v>
      </c>
      <c r="V663" s="738">
        <v>0</v>
      </c>
    </row>
    <row r="664" spans="2:22" ht="28.5" customHeight="1" thickBot="1" x14ac:dyDescent="0.3">
      <c r="B664" s="259">
        <v>37204132</v>
      </c>
      <c r="C664" s="1250" t="s">
        <v>530</v>
      </c>
      <c r="D664" s="1250"/>
      <c r="E664" s="260" t="s">
        <v>269</v>
      </c>
      <c r="F664" s="259" t="s">
        <v>443</v>
      </c>
      <c r="G664" s="1243">
        <v>78</v>
      </c>
      <c r="H664" s="1243"/>
      <c r="I664" s="1247" t="s">
        <v>444</v>
      </c>
      <c r="J664" s="1247"/>
      <c r="K664" s="737">
        <v>43</v>
      </c>
      <c r="L664" s="738">
        <v>0.55128205128205132</v>
      </c>
      <c r="M664" s="737">
        <v>8</v>
      </c>
      <c r="N664" s="738">
        <v>0.10256410256410256</v>
      </c>
      <c r="O664" s="737">
        <v>20</v>
      </c>
      <c r="P664" s="738">
        <v>0.25641025641025639</v>
      </c>
      <c r="Q664" s="737">
        <v>7</v>
      </c>
      <c r="R664" s="738">
        <v>8.9743589743589744E-2</v>
      </c>
      <c r="S664" s="737">
        <v>0</v>
      </c>
      <c r="T664" s="738">
        <v>0</v>
      </c>
      <c r="U664" s="737">
        <v>0</v>
      </c>
      <c r="V664" s="738">
        <v>0</v>
      </c>
    </row>
    <row r="665" spans="2:22" ht="21.75" thickBot="1" x14ac:dyDescent="0.3">
      <c r="B665" s="243">
        <v>37204007</v>
      </c>
      <c r="C665" s="1142" t="s">
        <v>531</v>
      </c>
      <c r="D665" s="1142"/>
      <c r="E665" s="244" t="s">
        <v>259</v>
      </c>
      <c r="F665" s="243" t="s">
        <v>443</v>
      </c>
      <c r="G665" s="1243">
        <v>58</v>
      </c>
      <c r="H665" s="1243"/>
      <c r="I665" s="1243" t="s">
        <v>444</v>
      </c>
      <c r="J665" s="1243"/>
      <c r="K665" s="737">
        <v>18</v>
      </c>
      <c r="L665" s="738">
        <v>0.31034482758620691</v>
      </c>
      <c r="M665" s="737">
        <v>8</v>
      </c>
      <c r="N665" s="738">
        <v>0.13793103448275862</v>
      </c>
      <c r="O665" s="737">
        <v>7</v>
      </c>
      <c r="P665" s="738">
        <v>0.1206896551724138</v>
      </c>
      <c r="Q665" s="737">
        <v>25</v>
      </c>
      <c r="R665" s="738">
        <v>0.43103448275862066</v>
      </c>
      <c r="S665" s="737">
        <v>0</v>
      </c>
      <c r="T665" s="738">
        <v>0</v>
      </c>
      <c r="U665" s="737">
        <v>0</v>
      </c>
      <c r="V665" s="738">
        <v>0</v>
      </c>
    </row>
    <row r="666" spans="2:22" ht="15.75" thickBot="1" x14ac:dyDescent="0.3">
      <c r="B666" s="239">
        <v>37204103</v>
      </c>
      <c r="C666" s="1142" t="s">
        <v>532</v>
      </c>
      <c r="D666" s="1142"/>
      <c r="E666" s="240" t="s">
        <v>269</v>
      </c>
      <c r="F666" s="239" t="s">
        <v>443</v>
      </c>
      <c r="G666" s="1243">
        <v>68</v>
      </c>
      <c r="H666" s="1243"/>
      <c r="I666" s="1246" t="s">
        <v>444</v>
      </c>
      <c r="J666" s="1246"/>
      <c r="K666" s="737">
        <v>52</v>
      </c>
      <c r="L666" s="738">
        <v>0.76470588235294112</v>
      </c>
      <c r="M666" s="737">
        <v>4</v>
      </c>
      <c r="N666" s="738">
        <v>5.8823529411764705E-2</v>
      </c>
      <c r="O666" s="737">
        <v>8</v>
      </c>
      <c r="P666" s="738">
        <v>0.11764705882352941</v>
      </c>
      <c r="Q666" s="737">
        <v>4</v>
      </c>
      <c r="R666" s="738">
        <v>5.8823529411764705E-2</v>
      </c>
      <c r="S666" s="737">
        <v>0</v>
      </c>
      <c r="T666" s="738">
        <v>0</v>
      </c>
      <c r="U666" s="737">
        <v>0</v>
      </c>
      <c r="V666" s="738">
        <v>0</v>
      </c>
    </row>
    <row r="667" spans="2:22" ht="15.75" thickBot="1" x14ac:dyDescent="0.3">
      <c r="B667" s="239">
        <v>37204101</v>
      </c>
      <c r="C667" s="1142" t="s">
        <v>533</v>
      </c>
      <c r="D667" s="1142"/>
      <c r="E667" s="240" t="s">
        <v>269</v>
      </c>
      <c r="F667" s="239" t="s">
        <v>443</v>
      </c>
      <c r="G667" s="1243">
        <v>62</v>
      </c>
      <c r="H667" s="1243"/>
      <c r="I667" s="1246" t="s">
        <v>444</v>
      </c>
      <c r="J667" s="1246"/>
      <c r="K667" s="737">
        <v>43</v>
      </c>
      <c r="L667" s="738">
        <v>0.69354838709677424</v>
      </c>
      <c r="M667" s="737">
        <v>3</v>
      </c>
      <c r="N667" s="738">
        <v>4.8387096774193547E-2</v>
      </c>
      <c r="O667" s="737">
        <v>9</v>
      </c>
      <c r="P667" s="738">
        <v>0.14516129032258066</v>
      </c>
      <c r="Q667" s="737">
        <v>5</v>
      </c>
      <c r="R667" s="738">
        <v>8.0645161290322578E-2</v>
      </c>
      <c r="S667" s="737">
        <v>0</v>
      </c>
      <c r="T667" s="738">
        <v>0</v>
      </c>
      <c r="U667" s="737">
        <v>2</v>
      </c>
      <c r="V667" s="738">
        <v>3.2258064516129031E-2</v>
      </c>
    </row>
    <row r="668" spans="2:22" ht="21.75" thickBot="1" x14ac:dyDescent="0.3">
      <c r="B668" s="239">
        <v>37204008</v>
      </c>
      <c r="C668" s="1142" t="s">
        <v>534</v>
      </c>
      <c r="D668" s="1142"/>
      <c r="E668" s="240" t="s">
        <v>259</v>
      </c>
      <c r="F668" s="239" t="s">
        <v>443</v>
      </c>
      <c r="G668" s="1243">
        <v>57</v>
      </c>
      <c r="H668" s="1243"/>
      <c r="I668" s="1246" t="s">
        <v>444</v>
      </c>
      <c r="J668" s="1246"/>
      <c r="K668" s="737">
        <v>38</v>
      </c>
      <c r="L668" s="738">
        <v>0.66666666666666663</v>
      </c>
      <c r="M668" s="737">
        <v>1</v>
      </c>
      <c r="N668" s="738">
        <v>1.7543859649122806E-2</v>
      </c>
      <c r="O668" s="737">
        <v>7</v>
      </c>
      <c r="P668" s="738">
        <v>0.12280701754385964</v>
      </c>
      <c r="Q668" s="737">
        <v>9</v>
      </c>
      <c r="R668" s="738">
        <v>0.15789473684210525</v>
      </c>
      <c r="S668" s="737">
        <v>0</v>
      </c>
      <c r="T668" s="738">
        <v>0</v>
      </c>
      <c r="U668" s="737">
        <v>2</v>
      </c>
      <c r="V668" s="738">
        <v>3.5087719298245612E-2</v>
      </c>
    </row>
    <row r="669" spans="2:22" ht="36" customHeight="1" thickBot="1" x14ac:dyDescent="0.3">
      <c r="B669" s="239">
        <v>37204108</v>
      </c>
      <c r="C669" s="1142" t="s">
        <v>535</v>
      </c>
      <c r="D669" s="1142"/>
      <c r="E669" s="240" t="s">
        <v>269</v>
      </c>
      <c r="F669" s="239" t="s">
        <v>443</v>
      </c>
      <c r="G669" s="1243">
        <v>63</v>
      </c>
      <c r="H669" s="1243"/>
      <c r="I669" s="1246" t="s">
        <v>444</v>
      </c>
      <c r="J669" s="1246"/>
      <c r="K669" s="737">
        <v>24</v>
      </c>
      <c r="L669" s="738">
        <v>0.38095238095238093</v>
      </c>
      <c r="M669" s="737">
        <v>3</v>
      </c>
      <c r="N669" s="738">
        <v>4.7619047619047616E-2</v>
      </c>
      <c r="O669" s="737">
        <v>29</v>
      </c>
      <c r="P669" s="738">
        <v>0.46031746031746029</v>
      </c>
      <c r="Q669" s="737">
        <v>0</v>
      </c>
      <c r="R669" s="738">
        <v>0</v>
      </c>
      <c r="S669" s="737">
        <v>7</v>
      </c>
      <c r="T669" s="738">
        <v>0.1111111111111111</v>
      </c>
      <c r="U669" s="737">
        <v>0</v>
      </c>
      <c r="V669" s="738">
        <v>0</v>
      </c>
    </row>
    <row r="670" spans="2:22" ht="26.25" customHeight="1" thickBot="1" x14ac:dyDescent="0.3">
      <c r="B670" s="239">
        <v>37204115</v>
      </c>
      <c r="C670" s="1142" t="s">
        <v>536</v>
      </c>
      <c r="D670" s="1142"/>
      <c r="E670" s="240" t="s">
        <v>269</v>
      </c>
      <c r="F670" s="239" t="s">
        <v>443</v>
      </c>
      <c r="G670" s="1243">
        <v>60</v>
      </c>
      <c r="H670" s="1243"/>
      <c r="I670" s="1246" t="s">
        <v>444</v>
      </c>
      <c r="J670" s="1246"/>
      <c r="K670" s="737">
        <v>29</v>
      </c>
      <c r="L670" s="738">
        <v>0.48333333333333334</v>
      </c>
      <c r="M670" s="737">
        <v>1</v>
      </c>
      <c r="N670" s="738">
        <v>1.6666666666666666E-2</v>
      </c>
      <c r="O670" s="737">
        <v>23</v>
      </c>
      <c r="P670" s="738">
        <v>0.38333333333333336</v>
      </c>
      <c r="Q670" s="737">
        <v>2</v>
      </c>
      <c r="R670" s="738">
        <v>3.3333333333333333E-2</v>
      </c>
      <c r="S670" s="737">
        <v>5</v>
      </c>
      <c r="T670" s="738">
        <v>8.3333333333333329E-2</v>
      </c>
      <c r="U670" s="737">
        <v>0</v>
      </c>
      <c r="V670" s="738">
        <v>0</v>
      </c>
    </row>
    <row r="671" spans="2:22" ht="33.75" customHeight="1" thickBot="1" x14ac:dyDescent="0.3">
      <c r="B671" s="239">
        <v>37204119</v>
      </c>
      <c r="C671" s="1142" t="s">
        <v>537</v>
      </c>
      <c r="D671" s="1142"/>
      <c r="E671" s="240" t="s">
        <v>269</v>
      </c>
      <c r="F671" s="239" t="s">
        <v>180</v>
      </c>
      <c r="G671" s="1243">
        <v>72</v>
      </c>
      <c r="H671" s="1243"/>
      <c r="I671" s="1246" t="s">
        <v>444</v>
      </c>
      <c r="J671" s="1246"/>
      <c r="K671" s="737">
        <v>15</v>
      </c>
      <c r="L671" s="738">
        <v>0.20833333333333334</v>
      </c>
      <c r="M671" s="737">
        <v>2</v>
      </c>
      <c r="N671" s="738">
        <v>2.7777777777777776E-2</v>
      </c>
      <c r="O671" s="737">
        <v>39</v>
      </c>
      <c r="P671" s="738">
        <v>0.54166666666666663</v>
      </c>
      <c r="Q671" s="737">
        <v>5</v>
      </c>
      <c r="R671" s="738">
        <v>6.9444444444444448E-2</v>
      </c>
      <c r="S671" s="737">
        <v>11</v>
      </c>
      <c r="T671" s="738">
        <v>0.15277777777777779</v>
      </c>
      <c r="U671" s="737">
        <v>0</v>
      </c>
      <c r="V671" s="738">
        <v>0</v>
      </c>
    </row>
    <row r="672" spans="2:22" ht="15.75" thickBot="1" x14ac:dyDescent="0.3">
      <c r="B672" s="239">
        <v>37204102</v>
      </c>
      <c r="C672" s="1142" t="s">
        <v>538</v>
      </c>
      <c r="D672" s="1142"/>
      <c r="E672" s="240" t="s">
        <v>269</v>
      </c>
      <c r="F672" s="239" t="s">
        <v>180</v>
      </c>
      <c r="G672" s="1243">
        <v>99</v>
      </c>
      <c r="H672" s="1243"/>
      <c r="I672" s="1246" t="s">
        <v>444</v>
      </c>
      <c r="J672" s="1246"/>
      <c r="K672" s="737">
        <v>56</v>
      </c>
      <c r="L672" s="738">
        <v>0.56565656565656564</v>
      </c>
      <c r="M672" s="737">
        <v>5</v>
      </c>
      <c r="N672" s="738">
        <v>5.0505050505050504E-2</v>
      </c>
      <c r="O672" s="737">
        <v>17</v>
      </c>
      <c r="P672" s="738">
        <v>0.17171717171717171</v>
      </c>
      <c r="Q672" s="737">
        <v>18</v>
      </c>
      <c r="R672" s="738">
        <v>0.18181818181818182</v>
      </c>
      <c r="S672" s="737">
        <v>0</v>
      </c>
      <c r="T672" s="738">
        <v>0</v>
      </c>
      <c r="U672" s="737">
        <v>3</v>
      </c>
      <c r="V672" s="738">
        <v>3.0303030303030304E-2</v>
      </c>
    </row>
    <row r="673" spans="2:22" ht="15.75" thickBot="1" x14ac:dyDescent="0.3">
      <c r="B673" s="239">
        <v>37204125</v>
      </c>
      <c r="C673" s="1142" t="s">
        <v>539</v>
      </c>
      <c r="D673" s="1142"/>
      <c r="E673" s="240" t="s">
        <v>269</v>
      </c>
      <c r="F673" s="239" t="s">
        <v>180</v>
      </c>
      <c r="G673" s="1243">
        <v>49</v>
      </c>
      <c r="H673" s="1243"/>
      <c r="I673" s="1246" t="s">
        <v>471</v>
      </c>
      <c r="J673" s="1246"/>
      <c r="K673" s="737">
        <v>9</v>
      </c>
      <c r="L673" s="738">
        <v>0.18367346938775511</v>
      </c>
      <c r="M673" s="737">
        <v>1</v>
      </c>
      <c r="N673" s="738">
        <v>2.0408163265306121E-2</v>
      </c>
      <c r="O673" s="737">
        <v>26</v>
      </c>
      <c r="P673" s="738">
        <v>0.53061224489795922</v>
      </c>
      <c r="Q673" s="737">
        <v>0</v>
      </c>
      <c r="R673" s="738">
        <v>0</v>
      </c>
      <c r="S673" s="737">
        <v>12</v>
      </c>
      <c r="T673" s="738">
        <v>0.24489795918367346</v>
      </c>
      <c r="U673" s="737">
        <v>1</v>
      </c>
      <c r="V673" s="738">
        <v>2.0408163265306121E-2</v>
      </c>
    </row>
    <row r="674" spans="2:22" ht="34.5" customHeight="1" thickBot="1" x14ac:dyDescent="0.3">
      <c r="B674" s="239">
        <v>37204124</v>
      </c>
      <c r="C674" s="1142" t="s">
        <v>540</v>
      </c>
      <c r="D674" s="1142"/>
      <c r="E674" s="240" t="s">
        <v>269</v>
      </c>
      <c r="F674" s="239" t="s">
        <v>443</v>
      </c>
      <c r="G674" s="1243">
        <v>61</v>
      </c>
      <c r="H674" s="1243"/>
      <c r="I674" s="1246" t="s">
        <v>444</v>
      </c>
      <c r="J674" s="1246"/>
      <c r="K674" s="737">
        <v>34</v>
      </c>
      <c r="L674" s="738">
        <v>0.55737704918032782</v>
      </c>
      <c r="M674" s="737">
        <v>0</v>
      </c>
      <c r="N674" s="738">
        <v>0</v>
      </c>
      <c r="O674" s="737">
        <v>10</v>
      </c>
      <c r="P674" s="738">
        <v>0.16393442622950818</v>
      </c>
      <c r="Q674" s="737">
        <v>16</v>
      </c>
      <c r="R674" s="738">
        <v>0.26229508196721313</v>
      </c>
      <c r="S674" s="737">
        <v>0</v>
      </c>
      <c r="T674" s="738">
        <v>0</v>
      </c>
      <c r="U674" s="737">
        <v>1</v>
      </c>
      <c r="V674" s="738">
        <v>1.6393442622950821E-2</v>
      </c>
    </row>
    <row r="675" spans="2:22" ht="21.75" thickBot="1" x14ac:dyDescent="0.3">
      <c r="B675" s="239">
        <v>37204009</v>
      </c>
      <c r="C675" s="1142" t="s">
        <v>541</v>
      </c>
      <c r="D675" s="1142"/>
      <c r="E675" s="240" t="s">
        <v>259</v>
      </c>
      <c r="F675" s="239" t="s">
        <v>443</v>
      </c>
      <c r="G675" s="1243">
        <v>64</v>
      </c>
      <c r="H675" s="1243"/>
      <c r="I675" s="1246" t="s">
        <v>444</v>
      </c>
      <c r="J675" s="1246"/>
      <c r="K675" s="737">
        <v>34</v>
      </c>
      <c r="L675" s="738">
        <v>0.53125</v>
      </c>
      <c r="M675" s="737">
        <v>1</v>
      </c>
      <c r="N675" s="738">
        <v>1.5625E-2</v>
      </c>
      <c r="O675" s="737">
        <v>27</v>
      </c>
      <c r="P675" s="738">
        <v>0.421875</v>
      </c>
      <c r="Q675" s="737">
        <v>1</v>
      </c>
      <c r="R675" s="738">
        <v>1.5625E-2</v>
      </c>
      <c r="S675" s="737">
        <v>1</v>
      </c>
      <c r="T675" s="738">
        <v>1.5625E-2</v>
      </c>
      <c r="U675" s="737">
        <v>0</v>
      </c>
      <c r="V675" s="738">
        <v>0</v>
      </c>
    </row>
    <row r="676" spans="2:22" ht="25.5" customHeight="1" thickBot="1" x14ac:dyDescent="0.3">
      <c r="B676" s="259">
        <v>37204133</v>
      </c>
      <c r="C676" s="1250" t="s">
        <v>542</v>
      </c>
      <c r="D676" s="1250"/>
      <c r="E676" s="260" t="s">
        <v>269</v>
      </c>
      <c r="F676" s="259" t="s">
        <v>443</v>
      </c>
      <c r="G676" s="1243">
        <v>63</v>
      </c>
      <c r="H676" s="1243"/>
      <c r="I676" s="1247" t="s">
        <v>444</v>
      </c>
      <c r="J676" s="1247"/>
      <c r="K676" s="737">
        <v>12</v>
      </c>
      <c r="L676" s="738">
        <v>0.19047619047619047</v>
      </c>
      <c r="M676" s="737">
        <v>1</v>
      </c>
      <c r="N676" s="738">
        <v>1.5873015873015872E-2</v>
      </c>
      <c r="O676" s="737">
        <v>33</v>
      </c>
      <c r="P676" s="738">
        <v>0.52380952380952384</v>
      </c>
      <c r="Q676" s="737">
        <v>5</v>
      </c>
      <c r="R676" s="738">
        <v>7.9365079365079361E-2</v>
      </c>
      <c r="S676" s="737">
        <v>12</v>
      </c>
      <c r="T676" s="738">
        <v>0.19047619047619047</v>
      </c>
      <c r="U676" s="737">
        <v>0</v>
      </c>
      <c r="V676" s="738">
        <v>0</v>
      </c>
    </row>
    <row r="677" spans="2:22" ht="23.25" customHeight="1" thickBot="1" x14ac:dyDescent="0.3">
      <c r="B677" s="243">
        <v>37204111</v>
      </c>
      <c r="C677" s="1142" t="s">
        <v>543</v>
      </c>
      <c r="D677" s="1142"/>
      <c r="E677" s="244" t="s">
        <v>269</v>
      </c>
      <c r="F677" s="243" t="s">
        <v>443</v>
      </c>
      <c r="G677" s="1243">
        <v>61</v>
      </c>
      <c r="H677" s="1243"/>
      <c r="I677" s="1243" t="s">
        <v>444</v>
      </c>
      <c r="J677" s="1243"/>
      <c r="K677" s="737">
        <v>45</v>
      </c>
      <c r="L677" s="738">
        <v>0.73770491803278693</v>
      </c>
      <c r="M677" s="737">
        <v>0</v>
      </c>
      <c r="N677" s="738">
        <v>0</v>
      </c>
      <c r="O677" s="737">
        <v>12</v>
      </c>
      <c r="P677" s="738">
        <v>0.19672131147540983</v>
      </c>
      <c r="Q677" s="737">
        <v>2</v>
      </c>
      <c r="R677" s="738">
        <v>3.2786885245901641E-2</v>
      </c>
      <c r="S677" s="737">
        <v>2</v>
      </c>
      <c r="T677" s="738">
        <v>3.2786885245901641E-2</v>
      </c>
      <c r="U677" s="737">
        <v>0</v>
      </c>
      <c r="V677" s="738">
        <v>0</v>
      </c>
    </row>
    <row r="678" spans="2:22" ht="37.5" customHeight="1" thickBot="1" x14ac:dyDescent="0.3">
      <c r="B678" s="239">
        <v>37204135</v>
      </c>
      <c r="C678" s="1142" t="s">
        <v>544</v>
      </c>
      <c r="D678" s="1142"/>
      <c r="E678" s="240" t="s">
        <v>269</v>
      </c>
      <c r="F678" s="239" t="s">
        <v>443</v>
      </c>
      <c r="G678" s="1243">
        <v>58</v>
      </c>
      <c r="H678" s="1243"/>
      <c r="I678" s="1246" t="s">
        <v>444</v>
      </c>
      <c r="J678" s="1246"/>
      <c r="K678" s="737">
        <v>11</v>
      </c>
      <c r="L678" s="738">
        <v>0.18965517241379309</v>
      </c>
      <c r="M678" s="737">
        <v>0</v>
      </c>
      <c r="N678" s="738">
        <v>0</v>
      </c>
      <c r="O678" s="737">
        <v>25</v>
      </c>
      <c r="P678" s="738">
        <v>0.43103448275862066</v>
      </c>
      <c r="Q678" s="737">
        <v>0</v>
      </c>
      <c r="R678" s="738">
        <v>0</v>
      </c>
      <c r="S678" s="737">
        <v>22</v>
      </c>
      <c r="T678" s="738">
        <v>0.37931034482758619</v>
      </c>
      <c r="U678" s="737">
        <v>0</v>
      </c>
      <c r="V678" s="738">
        <v>0</v>
      </c>
    </row>
    <row r="679" spans="2:22" ht="37.5" customHeight="1" thickBot="1" x14ac:dyDescent="0.3">
      <c r="B679" s="239">
        <v>37204136</v>
      </c>
      <c r="C679" s="1142" t="s">
        <v>1136</v>
      </c>
      <c r="D679" s="1142"/>
      <c r="E679" s="240" t="s">
        <v>269</v>
      </c>
      <c r="F679" s="239" t="s">
        <v>443</v>
      </c>
      <c r="G679" s="1243">
        <v>68</v>
      </c>
      <c r="H679" s="1243"/>
      <c r="I679" s="1246" t="s">
        <v>444</v>
      </c>
      <c r="J679" s="1246"/>
      <c r="K679" s="737">
        <v>36</v>
      </c>
      <c r="L679" s="738">
        <v>0.52941176470588236</v>
      </c>
      <c r="M679" s="737">
        <v>2</v>
      </c>
      <c r="N679" s="738">
        <v>2.9411764705882353E-2</v>
      </c>
      <c r="O679" s="737">
        <v>26</v>
      </c>
      <c r="P679" s="738">
        <v>0.38235294117647056</v>
      </c>
      <c r="Q679" s="737">
        <v>3</v>
      </c>
      <c r="R679" s="738">
        <v>4.4117647058823532E-2</v>
      </c>
      <c r="S679" s="737">
        <v>1</v>
      </c>
      <c r="T679" s="738">
        <v>1.4705882352941176E-2</v>
      </c>
      <c r="U679" s="737">
        <v>0</v>
      </c>
      <c r="V679" s="738">
        <v>0</v>
      </c>
    </row>
    <row r="680" spans="2:22" ht="33.75" customHeight="1" thickBot="1" x14ac:dyDescent="0.3">
      <c r="B680" s="239">
        <v>37204105</v>
      </c>
      <c r="C680" s="1142" t="s">
        <v>898</v>
      </c>
      <c r="D680" s="1142"/>
      <c r="E680" s="240" t="s">
        <v>269</v>
      </c>
      <c r="F680" s="239" t="s">
        <v>443</v>
      </c>
      <c r="G680" s="1243">
        <v>59</v>
      </c>
      <c r="H680" s="1243"/>
      <c r="I680" s="1246" t="s">
        <v>444</v>
      </c>
      <c r="J680" s="1246"/>
      <c r="K680" s="737">
        <v>40</v>
      </c>
      <c r="L680" s="738">
        <v>0.67796610169491522</v>
      </c>
      <c r="M680" s="737">
        <v>0</v>
      </c>
      <c r="N680" s="738">
        <v>0</v>
      </c>
      <c r="O680" s="737">
        <v>19</v>
      </c>
      <c r="P680" s="738">
        <v>0.32203389830508472</v>
      </c>
      <c r="Q680" s="737">
        <v>0</v>
      </c>
      <c r="R680" s="738">
        <v>0</v>
      </c>
      <c r="S680" s="737">
        <v>0</v>
      </c>
      <c r="T680" s="738">
        <v>0</v>
      </c>
      <c r="U680" s="737">
        <v>0</v>
      </c>
      <c r="V680" s="738">
        <v>0</v>
      </c>
    </row>
    <row r="681" spans="2:22" ht="28.5" customHeight="1" thickBot="1" x14ac:dyDescent="0.3">
      <c r="B681" s="239">
        <v>37204137</v>
      </c>
      <c r="C681" s="1142" t="s">
        <v>545</v>
      </c>
      <c r="D681" s="1142"/>
      <c r="E681" s="240" t="s">
        <v>269</v>
      </c>
      <c r="F681" s="239" t="s">
        <v>443</v>
      </c>
      <c r="G681" s="1243">
        <v>62</v>
      </c>
      <c r="H681" s="1243"/>
      <c r="I681" s="1246" t="s">
        <v>444</v>
      </c>
      <c r="J681" s="1246"/>
      <c r="K681" s="737">
        <v>11</v>
      </c>
      <c r="L681" s="738">
        <v>0.17741935483870969</v>
      </c>
      <c r="M681" s="737">
        <v>1</v>
      </c>
      <c r="N681" s="738">
        <v>1.6129032258064516E-2</v>
      </c>
      <c r="O681" s="737">
        <v>40</v>
      </c>
      <c r="P681" s="738">
        <v>0.64516129032258063</v>
      </c>
      <c r="Q681" s="737">
        <v>0</v>
      </c>
      <c r="R681" s="738">
        <v>0</v>
      </c>
      <c r="S681" s="737">
        <v>10</v>
      </c>
      <c r="T681" s="738">
        <v>0.16129032258064516</v>
      </c>
      <c r="U681" s="737">
        <v>0</v>
      </c>
      <c r="V681" s="738">
        <v>0</v>
      </c>
    </row>
    <row r="682" spans="2:22" ht="37.5" customHeight="1" thickBot="1" x14ac:dyDescent="0.3">
      <c r="B682" s="239">
        <v>37204121</v>
      </c>
      <c r="C682" s="1142" t="s">
        <v>546</v>
      </c>
      <c r="D682" s="1142"/>
      <c r="E682" s="240" t="s">
        <v>269</v>
      </c>
      <c r="F682" s="239" t="s">
        <v>443</v>
      </c>
      <c r="G682" s="1243">
        <v>64</v>
      </c>
      <c r="H682" s="1243"/>
      <c r="I682" s="1246" t="s">
        <v>444</v>
      </c>
      <c r="J682" s="1246"/>
      <c r="K682" s="737">
        <v>7</v>
      </c>
      <c r="L682" s="738">
        <v>0.109375</v>
      </c>
      <c r="M682" s="737">
        <v>2</v>
      </c>
      <c r="N682" s="738">
        <v>3.125E-2</v>
      </c>
      <c r="O682" s="737">
        <v>46</v>
      </c>
      <c r="P682" s="738">
        <v>0.71875</v>
      </c>
      <c r="Q682" s="737">
        <v>0</v>
      </c>
      <c r="R682" s="738">
        <v>0</v>
      </c>
      <c r="S682" s="737">
        <v>9</v>
      </c>
      <c r="T682" s="738">
        <v>0.140625</v>
      </c>
      <c r="U682" s="737">
        <v>0</v>
      </c>
      <c r="V682" s="738">
        <v>0</v>
      </c>
    </row>
    <row r="683" spans="2:22" ht="15.75" thickBot="1" x14ac:dyDescent="0.3">
      <c r="B683" s="239">
        <v>37204106</v>
      </c>
      <c r="C683" s="1142" t="s">
        <v>547</v>
      </c>
      <c r="D683" s="1142"/>
      <c r="E683" s="240" t="s">
        <v>269</v>
      </c>
      <c r="F683" s="239" t="s">
        <v>443</v>
      </c>
      <c r="G683" s="1243">
        <v>72</v>
      </c>
      <c r="H683" s="1243"/>
      <c r="I683" s="1246" t="s">
        <v>444</v>
      </c>
      <c r="J683" s="1246"/>
      <c r="K683" s="737">
        <v>28</v>
      </c>
      <c r="L683" s="738">
        <v>0.3888888888888889</v>
      </c>
      <c r="M683" s="737">
        <v>1</v>
      </c>
      <c r="N683" s="738">
        <v>1.3888888888888888E-2</v>
      </c>
      <c r="O683" s="737">
        <v>22</v>
      </c>
      <c r="P683" s="738">
        <v>0.30555555555555558</v>
      </c>
      <c r="Q683" s="737">
        <v>6</v>
      </c>
      <c r="R683" s="738">
        <v>8.3333333333333329E-2</v>
      </c>
      <c r="S683" s="737">
        <v>14</v>
      </c>
      <c r="T683" s="738">
        <v>0.19444444444444445</v>
      </c>
      <c r="U683" s="737">
        <v>1</v>
      </c>
      <c r="V683" s="738">
        <v>1.3888888888888888E-2</v>
      </c>
    </row>
    <row r="684" spans="2:22" ht="15.75" thickBot="1" x14ac:dyDescent="0.3">
      <c r="B684" s="239">
        <v>37204104</v>
      </c>
      <c r="C684" s="1142" t="s">
        <v>548</v>
      </c>
      <c r="D684" s="1142"/>
      <c r="E684" s="240" t="s">
        <v>269</v>
      </c>
      <c r="F684" s="239" t="s">
        <v>180</v>
      </c>
      <c r="G684" s="1243">
        <v>69</v>
      </c>
      <c r="H684" s="1243"/>
      <c r="I684" s="1246" t="s">
        <v>444</v>
      </c>
      <c r="J684" s="1246"/>
      <c r="K684" s="737">
        <v>17</v>
      </c>
      <c r="L684" s="738">
        <v>0.24637681159420291</v>
      </c>
      <c r="M684" s="737">
        <v>0</v>
      </c>
      <c r="N684" s="738">
        <v>0</v>
      </c>
      <c r="O684" s="737">
        <v>50</v>
      </c>
      <c r="P684" s="738">
        <v>0.72463768115942029</v>
      </c>
      <c r="Q684" s="737">
        <v>1</v>
      </c>
      <c r="R684" s="738">
        <v>1.4492753623188406E-2</v>
      </c>
      <c r="S684" s="737">
        <v>0</v>
      </c>
      <c r="T684" s="738">
        <v>0</v>
      </c>
      <c r="U684" s="737">
        <v>1</v>
      </c>
      <c r="V684" s="738">
        <v>1.4492753623188406E-2</v>
      </c>
    </row>
    <row r="685" spans="2:22" ht="38.25" customHeight="1" thickBot="1" x14ac:dyDescent="0.3">
      <c r="B685" s="239">
        <v>37204109</v>
      </c>
      <c r="C685" s="1142" t="s">
        <v>550</v>
      </c>
      <c r="D685" s="1142"/>
      <c r="E685" s="240" t="s">
        <v>269</v>
      </c>
      <c r="F685" s="239" t="s">
        <v>180</v>
      </c>
      <c r="G685" s="1243">
        <v>62</v>
      </c>
      <c r="H685" s="1243"/>
      <c r="I685" s="1246" t="s">
        <v>551</v>
      </c>
      <c r="J685" s="1246"/>
      <c r="K685" s="737">
        <v>35</v>
      </c>
      <c r="L685" s="738">
        <v>0.56451612903225812</v>
      </c>
      <c r="M685" s="737">
        <v>0</v>
      </c>
      <c r="N685" s="738">
        <v>0</v>
      </c>
      <c r="O685" s="737">
        <v>26</v>
      </c>
      <c r="P685" s="738">
        <v>0.41935483870967744</v>
      </c>
      <c r="Q685" s="737">
        <v>1</v>
      </c>
      <c r="R685" s="738">
        <v>1.6129032258064516E-2</v>
      </c>
      <c r="S685" s="737">
        <v>0</v>
      </c>
      <c r="T685" s="738">
        <v>0</v>
      </c>
      <c r="U685" s="737">
        <v>0</v>
      </c>
      <c r="V685" s="738">
        <v>0</v>
      </c>
    </row>
    <row r="686" spans="2:22" ht="15.75" thickBot="1" x14ac:dyDescent="0.3">
      <c r="B686" s="239">
        <v>37204107</v>
      </c>
      <c r="C686" s="1142" t="s">
        <v>552</v>
      </c>
      <c r="D686" s="1142"/>
      <c r="E686" s="240" t="s">
        <v>269</v>
      </c>
      <c r="F686" s="239" t="s">
        <v>180</v>
      </c>
      <c r="G686" s="1243">
        <v>68</v>
      </c>
      <c r="H686" s="1243"/>
      <c r="I686" s="1246" t="s">
        <v>444</v>
      </c>
      <c r="J686" s="1246"/>
      <c r="K686" s="737">
        <v>40</v>
      </c>
      <c r="L686" s="738">
        <v>0.58823529411764708</v>
      </c>
      <c r="M686" s="737">
        <v>0</v>
      </c>
      <c r="N686" s="738">
        <v>0</v>
      </c>
      <c r="O686" s="737">
        <v>16</v>
      </c>
      <c r="P686" s="738">
        <v>0.23529411764705882</v>
      </c>
      <c r="Q686" s="737">
        <v>9</v>
      </c>
      <c r="R686" s="738">
        <v>0.13235294117647059</v>
      </c>
      <c r="S686" s="737">
        <v>0</v>
      </c>
      <c r="T686" s="738">
        <v>0</v>
      </c>
      <c r="U686" s="737">
        <v>3</v>
      </c>
      <c r="V686" s="738">
        <v>4.4117647058823532E-2</v>
      </c>
    </row>
    <row r="687" spans="2:22" ht="27" customHeight="1" thickBot="1" x14ac:dyDescent="0.3">
      <c r="B687" s="239">
        <v>37204126</v>
      </c>
      <c r="C687" s="1142" t="s">
        <v>553</v>
      </c>
      <c r="D687" s="1142"/>
      <c r="E687" s="240" t="s">
        <v>269</v>
      </c>
      <c r="F687" s="239" t="s">
        <v>180</v>
      </c>
      <c r="G687" s="1243">
        <v>66</v>
      </c>
      <c r="H687" s="1243"/>
      <c r="I687" s="1246" t="s">
        <v>444</v>
      </c>
      <c r="J687" s="1246"/>
      <c r="K687" s="737">
        <v>15</v>
      </c>
      <c r="L687" s="738">
        <v>0.22727272727272727</v>
      </c>
      <c r="M687" s="737">
        <v>0</v>
      </c>
      <c r="N687" s="738">
        <v>0</v>
      </c>
      <c r="O687" s="737">
        <v>39</v>
      </c>
      <c r="P687" s="738">
        <v>0.59090909090909094</v>
      </c>
      <c r="Q687" s="737">
        <v>0</v>
      </c>
      <c r="R687" s="738">
        <v>0</v>
      </c>
      <c r="S687" s="737">
        <v>12</v>
      </c>
      <c r="T687" s="738">
        <v>0.18181818181818182</v>
      </c>
      <c r="U687" s="737">
        <v>0</v>
      </c>
      <c r="V687" s="738">
        <v>0</v>
      </c>
    </row>
    <row r="688" spans="2:22" ht="33" customHeight="1" thickBot="1" x14ac:dyDescent="0.3">
      <c r="B688" s="239">
        <v>37204110</v>
      </c>
      <c r="C688" s="1142" t="s">
        <v>554</v>
      </c>
      <c r="D688" s="1142"/>
      <c r="E688" s="240" t="s">
        <v>269</v>
      </c>
      <c r="F688" s="239" t="s">
        <v>180</v>
      </c>
      <c r="G688" s="1243">
        <v>73</v>
      </c>
      <c r="H688" s="1243"/>
      <c r="I688" s="1246" t="s">
        <v>444</v>
      </c>
      <c r="J688" s="1246"/>
      <c r="K688" s="737">
        <v>43</v>
      </c>
      <c r="L688" s="738">
        <v>0.58904109589041098</v>
      </c>
      <c r="M688" s="737">
        <v>1</v>
      </c>
      <c r="N688" s="738">
        <v>1.3698630136986301E-2</v>
      </c>
      <c r="O688" s="737">
        <v>22</v>
      </c>
      <c r="P688" s="738">
        <v>0.30136986301369861</v>
      </c>
      <c r="Q688" s="737">
        <v>6</v>
      </c>
      <c r="R688" s="738">
        <v>8.2191780821917804E-2</v>
      </c>
      <c r="S688" s="737">
        <v>1</v>
      </c>
      <c r="T688" s="738">
        <v>1.3698630136986301E-2</v>
      </c>
      <c r="U688" s="737">
        <v>0</v>
      </c>
      <c r="V688" s="738">
        <v>0</v>
      </c>
    </row>
    <row r="689" spans="2:22" ht="27.75" customHeight="1" thickBot="1" x14ac:dyDescent="0.3">
      <c r="B689" s="239">
        <v>37204218</v>
      </c>
      <c r="C689" s="1142" t="s">
        <v>556</v>
      </c>
      <c r="D689" s="1142"/>
      <c r="E689" s="240" t="s">
        <v>286</v>
      </c>
      <c r="F689" s="239" t="s">
        <v>443</v>
      </c>
      <c r="G689" s="1243">
        <v>17</v>
      </c>
      <c r="H689" s="1243"/>
      <c r="I689" s="1246" t="s">
        <v>444</v>
      </c>
      <c r="J689" s="1246"/>
      <c r="K689" s="737">
        <v>16</v>
      </c>
      <c r="L689" s="738">
        <v>0.94117647058823528</v>
      </c>
      <c r="M689" s="737">
        <v>0</v>
      </c>
      <c r="N689" s="738">
        <v>0</v>
      </c>
      <c r="O689" s="737">
        <v>1</v>
      </c>
      <c r="P689" s="738">
        <v>5.8823529411764705E-2</v>
      </c>
      <c r="Q689" s="737">
        <v>0</v>
      </c>
      <c r="R689" s="738">
        <v>0</v>
      </c>
      <c r="S689" s="737">
        <v>0</v>
      </c>
      <c r="T689" s="738">
        <v>0</v>
      </c>
      <c r="U689" s="737">
        <v>0</v>
      </c>
      <c r="V689" s="738">
        <v>0</v>
      </c>
    </row>
    <row r="690" spans="2:22" ht="24.75" customHeight="1" thickBot="1" x14ac:dyDescent="0.3">
      <c r="B690" s="259">
        <v>37204221</v>
      </c>
      <c r="C690" s="1250" t="s">
        <v>557</v>
      </c>
      <c r="D690" s="1250"/>
      <c r="E690" s="260" t="s">
        <v>286</v>
      </c>
      <c r="F690" s="259" t="s">
        <v>443</v>
      </c>
      <c r="G690" s="1243">
        <v>22</v>
      </c>
      <c r="H690" s="1243"/>
      <c r="I690" s="1247" t="s">
        <v>444</v>
      </c>
      <c r="J690" s="1247"/>
      <c r="K690" s="737">
        <v>11</v>
      </c>
      <c r="L690" s="738">
        <v>0.5</v>
      </c>
      <c r="M690" s="737">
        <v>1</v>
      </c>
      <c r="N690" s="738">
        <v>4.5454545454545456E-2</v>
      </c>
      <c r="O690" s="737">
        <v>9</v>
      </c>
      <c r="P690" s="738">
        <v>0.40909090909090912</v>
      </c>
      <c r="Q690" s="737">
        <v>0</v>
      </c>
      <c r="R690" s="738">
        <v>0</v>
      </c>
      <c r="S690" s="737">
        <v>0</v>
      </c>
      <c r="T690" s="738">
        <v>0</v>
      </c>
      <c r="U690" s="737">
        <v>1</v>
      </c>
      <c r="V690" s="738">
        <v>4.5454545454545456E-2</v>
      </c>
    </row>
    <row r="691" spans="2:22" ht="24.75" customHeight="1" thickBot="1" x14ac:dyDescent="0.3">
      <c r="B691" s="243">
        <v>37204224</v>
      </c>
      <c r="C691" s="1142" t="s">
        <v>564</v>
      </c>
      <c r="D691" s="1142"/>
      <c r="E691" s="244" t="s">
        <v>286</v>
      </c>
      <c r="F691" s="243" t="s">
        <v>443</v>
      </c>
      <c r="G691" s="1243">
        <v>21</v>
      </c>
      <c r="H691" s="1243"/>
      <c r="I691" s="1243" t="s">
        <v>444</v>
      </c>
      <c r="J691" s="1243"/>
      <c r="K691" s="737">
        <v>5</v>
      </c>
      <c r="L691" s="738">
        <v>0.23809523809523808</v>
      </c>
      <c r="M691" s="737">
        <v>1</v>
      </c>
      <c r="N691" s="738">
        <v>4.7619047619047616E-2</v>
      </c>
      <c r="O691" s="737">
        <v>15</v>
      </c>
      <c r="P691" s="738">
        <v>0.7142857142857143</v>
      </c>
      <c r="Q691" s="737">
        <v>0</v>
      </c>
      <c r="R691" s="738">
        <v>0</v>
      </c>
      <c r="S691" s="737">
        <v>0</v>
      </c>
      <c r="T691" s="738">
        <v>0</v>
      </c>
      <c r="U691" s="737">
        <v>0</v>
      </c>
      <c r="V691" s="738">
        <v>0</v>
      </c>
    </row>
    <row r="692" spans="2:22" ht="15.75" thickBot="1" x14ac:dyDescent="0.3">
      <c r="B692" s="239">
        <v>37204116</v>
      </c>
      <c r="C692" s="1142" t="s">
        <v>565</v>
      </c>
      <c r="D692" s="1142"/>
      <c r="E692" s="240" t="s">
        <v>269</v>
      </c>
      <c r="F692" s="239" t="s">
        <v>443</v>
      </c>
      <c r="G692" s="1243">
        <v>49</v>
      </c>
      <c r="H692" s="1243"/>
      <c r="I692" s="1246" t="s">
        <v>444</v>
      </c>
      <c r="J692" s="1246"/>
      <c r="K692" s="737">
        <v>0</v>
      </c>
      <c r="L692" s="738">
        <v>0</v>
      </c>
      <c r="M692" s="737">
        <v>1</v>
      </c>
      <c r="N692" s="738">
        <v>2.0408163265306121E-2</v>
      </c>
      <c r="O692" s="737">
        <v>37</v>
      </c>
      <c r="P692" s="738">
        <v>0.75510204081632648</v>
      </c>
      <c r="Q692" s="737">
        <v>0</v>
      </c>
      <c r="R692" s="738">
        <v>0</v>
      </c>
      <c r="S692" s="737">
        <v>11</v>
      </c>
      <c r="T692" s="738">
        <v>0.22448979591836735</v>
      </c>
      <c r="U692" s="737">
        <v>0</v>
      </c>
      <c r="V692" s="738">
        <v>0</v>
      </c>
    </row>
    <row r="693" spans="2:22" ht="15.75" thickBot="1" x14ac:dyDescent="0.3">
      <c r="B693" s="239">
        <v>37204117</v>
      </c>
      <c r="C693" s="1142" t="s">
        <v>566</v>
      </c>
      <c r="D693" s="1142"/>
      <c r="E693" s="240" t="s">
        <v>269</v>
      </c>
      <c r="F693" s="239" t="s">
        <v>443</v>
      </c>
      <c r="G693" s="1243">
        <v>41</v>
      </c>
      <c r="H693" s="1243"/>
      <c r="I693" s="1246" t="s">
        <v>444</v>
      </c>
      <c r="J693" s="1246"/>
      <c r="K693" s="737">
        <v>26</v>
      </c>
      <c r="L693" s="738">
        <v>0.63414634146341464</v>
      </c>
      <c r="M693" s="737">
        <v>0</v>
      </c>
      <c r="N693" s="738">
        <v>0</v>
      </c>
      <c r="O693" s="737">
        <v>13</v>
      </c>
      <c r="P693" s="738">
        <v>0.31707317073170732</v>
      </c>
      <c r="Q693" s="737">
        <v>2</v>
      </c>
      <c r="R693" s="738">
        <v>4.878048780487805E-2</v>
      </c>
      <c r="S693" s="737">
        <v>0</v>
      </c>
      <c r="T693" s="738">
        <v>0</v>
      </c>
      <c r="U693" s="737">
        <v>0</v>
      </c>
      <c r="V693" s="738">
        <v>0</v>
      </c>
    </row>
    <row r="694" spans="2:22" ht="25.5" customHeight="1" thickBot="1" x14ac:dyDescent="0.3">
      <c r="B694" s="239">
        <v>37204118</v>
      </c>
      <c r="C694" s="1142" t="s">
        <v>567</v>
      </c>
      <c r="D694" s="1142"/>
      <c r="E694" s="240" t="s">
        <v>269</v>
      </c>
      <c r="F694" s="239" t="s">
        <v>443</v>
      </c>
      <c r="G694" s="1243">
        <v>48</v>
      </c>
      <c r="H694" s="1243"/>
      <c r="I694" s="1246" t="s">
        <v>444</v>
      </c>
      <c r="J694" s="1246"/>
      <c r="K694" s="737">
        <v>30</v>
      </c>
      <c r="L694" s="738">
        <v>0.625</v>
      </c>
      <c r="M694" s="737">
        <v>0</v>
      </c>
      <c r="N694" s="738">
        <v>0</v>
      </c>
      <c r="O694" s="737">
        <v>17</v>
      </c>
      <c r="P694" s="738">
        <v>0.35416666666666669</v>
      </c>
      <c r="Q694" s="737">
        <v>0</v>
      </c>
      <c r="R694" s="738">
        <v>0</v>
      </c>
      <c r="S694" s="737">
        <v>1</v>
      </c>
      <c r="T694" s="738">
        <v>2.0833333333333332E-2</v>
      </c>
      <c r="U694" s="737">
        <v>0</v>
      </c>
      <c r="V694" s="738">
        <v>0</v>
      </c>
    </row>
    <row r="695" spans="2:22" ht="24.75" customHeight="1" thickBot="1" x14ac:dyDescent="0.3">
      <c r="B695" s="239">
        <v>37204114</v>
      </c>
      <c r="C695" s="1142" t="s">
        <v>568</v>
      </c>
      <c r="D695" s="1142"/>
      <c r="E695" s="240" t="s">
        <v>269</v>
      </c>
      <c r="F695" s="239" t="s">
        <v>443</v>
      </c>
      <c r="G695" s="1243">
        <v>48</v>
      </c>
      <c r="H695" s="1243"/>
      <c r="I695" s="1246" t="s">
        <v>444</v>
      </c>
      <c r="J695" s="1246"/>
      <c r="K695" s="737">
        <v>6</v>
      </c>
      <c r="L695" s="738">
        <v>0.125</v>
      </c>
      <c r="M695" s="737">
        <v>1</v>
      </c>
      <c r="N695" s="738">
        <v>2.0833333333333332E-2</v>
      </c>
      <c r="O695" s="737">
        <v>41</v>
      </c>
      <c r="P695" s="738">
        <v>0.85416666666666663</v>
      </c>
      <c r="Q695" s="737">
        <v>0</v>
      </c>
      <c r="R695" s="738">
        <v>0</v>
      </c>
      <c r="S695" s="737">
        <v>0</v>
      </c>
      <c r="T695" s="738">
        <v>0</v>
      </c>
      <c r="U695" s="737">
        <v>0</v>
      </c>
      <c r="V695" s="738">
        <v>0</v>
      </c>
    </row>
    <row r="696" spans="2:22" ht="46.5" customHeight="1" thickBot="1" x14ac:dyDescent="0.3">
      <c r="B696" s="239">
        <v>37204130</v>
      </c>
      <c r="C696" s="1142" t="s">
        <v>558</v>
      </c>
      <c r="D696" s="1142"/>
      <c r="E696" s="240" t="s">
        <v>269</v>
      </c>
      <c r="F696" s="239" t="s">
        <v>443</v>
      </c>
      <c r="G696" s="1243">
        <v>44</v>
      </c>
      <c r="H696" s="1243"/>
      <c r="I696" s="1246" t="s">
        <v>444</v>
      </c>
      <c r="J696" s="1246"/>
      <c r="K696" s="737">
        <v>6</v>
      </c>
      <c r="L696" s="738">
        <v>0.13636363636363635</v>
      </c>
      <c r="M696" s="737">
        <v>0</v>
      </c>
      <c r="N696" s="738">
        <v>0</v>
      </c>
      <c r="O696" s="737">
        <v>29</v>
      </c>
      <c r="P696" s="738">
        <v>0.65909090909090906</v>
      </c>
      <c r="Q696" s="737">
        <v>0</v>
      </c>
      <c r="R696" s="738">
        <v>0</v>
      </c>
      <c r="S696" s="737">
        <v>9</v>
      </c>
      <c r="T696" s="738">
        <v>0.20454545454545456</v>
      </c>
      <c r="U696" s="737">
        <v>0</v>
      </c>
      <c r="V696" s="738">
        <v>0</v>
      </c>
    </row>
    <row r="697" spans="2:22" ht="27.75" customHeight="1" thickBot="1" x14ac:dyDescent="0.3">
      <c r="B697" s="239">
        <v>37204128</v>
      </c>
      <c r="C697" s="1142" t="s">
        <v>559</v>
      </c>
      <c r="D697" s="1142"/>
      <c r="E697" s="240" t="s">
        <v>269</v>
      </c>
      <c r="F697" s="239" t="s">
        <v>443</v>
      </c>
      <c r="G697" s="1243">
        <v>47</v>
      </c>
      <c r="H697" s="1243"/>
      <c r="I697" s="1246" t="s">
        <v>444</v>
      </c>
      <c r="J697" s="1246"/>
      <c r="K697" s="737">
        <v>3</v>
      </c>
      <c r="L697" s="738">
        <v>6.3829787234042548E-2</v>
      </c>
      <c r="M697" s="737">
        <v>0</v>
      </c>
      <c r="N697" s="738">
        <v>0</v>
      </c>
      <c r="O697" s="737">
        <v>29</v>
      </c>
      <c r="P697" s="738">
        <v>0.61702127659574468</v>
      </c>
      <c r="Q697" s="737">
        <v>0</v>
      </c>
      <c r="R697" s="738">
        <v>0</v>
      </c>
      <c r="S697" s="737">
        <v>15</v>
      </c>
      <c r="T697" s="738">
        <v>0.31914893617021278</v>
      </c>
      <c r="U697" s="737">
        <v>0</v>
      </c>
      <c r="V697" s="738">
        <v>0</v>
      </c>
    </row>
    <row r="698" spans="2:22" ht="23.25" customHeight="1" thickBot="1" x14ac:dyDescent="0.3">
      <c r="B698" s="239">
        <v>37204127</v>
      </c>
      <c r="C698" s="1142" t="s">
        <v>560</v>
      </c>
      <c r="D698" s="1142"/>
      <c r="E698" s="240" t="s">
        <v>269</v>
      </c>
      <c r="F698" s="239" t="s">
        <v>443</v>
      </c>
      <c r="G698" s="1243">
        <v>47</v>
      </c>
      <c r="H698" s="1243"/>
      <c r="I698" s="1246" t="s">
        <v>444</v>
      </c>
      <c r="J698" s="1246"/>
      <c r="K698" s="737">
        <v>3</v>
      </c>
      <c r="L698" s="738">
        <v>6.3829787234042548E-2</v>
      </c>
      <c r="M698" s="737">
        <v>0</v>
      </c>
      <c r="N698" s="738">
        <v>0</v>
      </c>
      <c r="O698" s="737">
        <v>28</v>
      </c>
      <c r="P698" s="738">
        <v>0.5957446808510638</v>
      </c>
      <c r="Q698" s="737">
        <v>0</v>
      </c>
      <c r="R698" s="738">
        <v>0</v>
      </c>
      <c r="S698" s="737">
        <v>16</v>
      </c>
      <c r="T698" s="738">
        <v>0.34042553191489361</v>
      </c>
      <c r="U698" s="737">
        <v>0</v>
      </c>
      <c r="V698" s="738">
        <v>0</v>
      </c>
    </row>
    <row r="699" spans="2:22" ht="25.5" customHeight="1" thickBot="1" x14ac:dyDescent="0.3">
      <c r="B699" s="239">
        <v>37204129</v>
      </c>
      <c r="C699" s="1142" t="s">
        <v>561</v>
      </c>
      <c r="D699" s="1142"/>
      <c r="E699" s="240" t="s">
        <v>269</v>
      </c>
      <c r="F699" s="239" t="s">
        <v>443</v>
      </c>
      <c r="G699" s="1243">
        <v>41</v>
      </c>
      <c r="H699" s="1243"/>
      <c r="I699" s="1246" t="s">
        <v>444</v>
      </c>
      <c r="J699" s="1246"/>
      <c r="K699" s="737">
        <v>4</v>
      </c>
      <c r="L699" s="738">
        <v>9.7560975609756101E-2</v>
      </c>
      <c r="M699" s="737">
        <v>0</v>
      </c>
      <c r="N699" s="738">
        <v>0</v>
      </c>
      <c r="O699" s="737">
        <v>26</v>
      </c>
      <c r="P699" s="738">
        <v>0.63414634146341464</v>
      </c>
      <c r="Q699" s="737">
        <v>0</v>
      </c>
      <c r="R699" s="738">
        <v>0</v>
      </c>
      <c r="S699" s="737">
        <v>11</v>
      </c>
      <c r="T699" s="738">
        <v>0.26829268292682928</v>
      </c>
      <c r="U699" s="737">
        <v>0</v>
      </c>
      <c r="V699" s="738">
        <v>0</v>
      </c>
    </row>
    <row r="700" spans="2:22" ht="24" customHeight="1" thickBot="1" x14ac:dyDescent="0.3">
      <c r="B700" s="239">
        <v>37204131</v>
      </c>
      <c r="C700" s="1142" t="s">
        <v>562</v>
      </c>
      <c r="D700" s="1142"/>
      <c r="E700" s="240" t="s">
        <v>269</v>
      </c>
      <c r="F700" s="239" t="s">
        <v>443</v>
      </c>
      <c r="G700" s="1243">
        <v>41</v>
      </c>
      <c r="H700" s="1243"/>
      <c r="I700" s="1246" t="s">
        <v>444</v>
      </c>
      <c r="J700" s="1246"/>
      <c r="K700" s="737">
        <v>2</v>
      </c>
      <c r="L700" s="738">
        <v>4.878048780487805E-2</v>
      </c>
      <c r="M700" s="737">
        <v>1</v>
      </c>
      <c r="N700" s="738">
        <v>2.4390243902439025E-2</v>
      </c>
      <c r="O700" s="737">
        <v>24</v>
      </c>
      <c r="P700" s="738">
        <v>0.58536585365853655</v>
      </c>
      <c r="Q700" s="737">
        <v>1</v>
      </c>
      <c r="R700" s="738">
        <v>2.4390243902439025E-2</v>
      </c>
      <c r="S700" s="737">
        <v>13</v>
      </c>
      <c r="T700" s="738">
        <v>0.31707317073170732</v>
      </c>
      <c r="U700" s="737">
        <v>0</v>
      </c>
      <c r="V700" s="738">
        <v>0</v>
      </c>
    </row>
    <row r="701" spans="2:22" ht="15.75" thickBot="1" x14ac:dyDescent="0.3">
      <c r="B701" s="239">
        <v>37204301</v>
      </c>
      <c r="C701" s="1142" t="s">
        <v>563</v>
      </c>
      <c r="D701" s="1142"/>
      <c r="E701" s="240" t="s">
        <v>269</v>
      </c>
      <c r="F701" s="239" t="s">
        <v>443</v>
      </c>
      <c r="G701" s="1243">
        <v>56</v>
      </c>
      <c r="H701" s="1243"/>
      <c r="I701" s="1246" t="s">
        <v>471</v>
      </c>
      <c r="J701" s="1246"/>
      <c r="K701" s="737">
        <v>17</v>
      </c>
      <c r="L701" s="738">
        <v>0.30357142857142855</v>
      </c>
      <c r="M701" s="737">
        <v>4</v>
      </c>
      <c r="N701" s="738">
        <v>7.1428571428571425E-2</v>
      </c>
      <c r="O701" s="737">
        <v>32</v>
      </c>
      <c r="P701" s="738">
        <v>0.5714285714285714</v>
      </c>
      <c r="Q701" s="737">
        <v>3</v>
      </c>
      <c r="R701" s="738">
        <v>5.3571428571428568E-2</v>
      </c>
      <c r="S701" s="737">
        <v>0</v>
      </c>
      <c r="T701" s="738">
        <v>0</v>
      </c>
      <c r="U701" s="737">
        <v>0</v>
      </c>
      <c r="V701" s="738">
        <v>0</v>
      </c>
    </row>
    <row r="702" spans="2:22" ht="36" customHeight="1" thickBot="1" x14ac:dyDescent="0.3">
      <c r="B702" s="239">
        <v>37204223</v>
      </c>
      <c r="C702" s="1142" t="s">
        <v>569</v>
      </c>
      <c r="D702" s="1142"/>
      <c r="E702" s="240" t="s">
        <v>269</v>
      </c>
      <c r="F702" s="239" t="s">
        <v>443</v>
      </c>
      <c r="G702" s="1243">
        <v>30</v>
      </c>
      <c r="H702" s="1243"/>
      <c r="I702" s="1246" t="s">
        <v>444</v>
      </c>
      <c r="J702" s="1246"/>
      <c r="K702" s="737">
        <v>2</v>
      </c>
      <c r="L702" s="738">
        <v>6.6666666666666666E-2</v>
      </c>
      <c r="M702" s="737">
        <v>0</v>
      </c>
      <c r="N702" s="738">
        <v>0</v>
      </c>
      <c r="O702" s="737">
        <v>12</v>
      </c>
      <c r="P702" s="738">
        <v>0.4</v>
      </c>
      <c r="Q702" s="737">
        <v>0</v>
      </c>
      <c r="R702" s="738">
        <v>0</v>
      </c>
      <c r="S702" s="737">
        <v>16</v>
      </c>
      <c r="T702" s="738">
        <v>0.53333333333333333</v>
      </c>
      <c r="U702" s="737">
        <v>0</v>
      </c>
      <c r="V702" s="738">
        <v>0</v>
      </c>
    </row>
    <row r="703" spans="2:22" ht="15.75" thickBot="1" x14ac:dyDescent="0.3">
      <c r="B703" s="239">
        <v>37204210</v>
      </c>
      <c r="C703" s="1142" t="s">
        <v>570</v>
      </c>
      <c r="D703" s="1142"/>
      <c r="E703" s="240" t="s">
        <v>269</v>
      </c>
      <c r="F703" s="239" t="s">
        <v>443</v>
      </c>
      <c r="G703" s="1243">
        <v>18</v>
      </c>
      <c r="H703" s="1243"/>
      <c r="I703" s="1246" t="s">
        <v>444</v>
      </c>
      <c r="J703" s="1246"/>
      <c r="K703" s="737">
        <v>4</v>
      </c>
      <c r="L703" s="738">
        <v>0.22222222222222221</v>
      </c>
      <c r="M703" s="737">
        <v>0</v>
      </c>
      <c r="N703" s="738">
        <v>0</v>
      </c>
      <c r="O703" s="737">
        <v>11</v>
      </c>
      <c r="P703" s="738">
        <v>0.61111111111111116</v>
      </c>
      <c r="Q703" s="737">
        <v>0</v>
      </c>
      <c r="R703" s="738">
        <v>0</v>
      </c>
      <c r="S703" s="737">
        <v>2</v>
      </c>
      <c r="T703" s="738">
        <v>0.1111111111111111</v>
      </c>
      <c r="U703" s="737">
        <v>1</v>
      </c>
      <c r="V703" s="738">
        <v>5.5555555555555552E-2</v>
      </c>
    </row>
    <row r="704" spans="2:22" ht="26.25" customHeight="1" thickBot="1" x14ac:dyDescent="0.3">
      <c r="B704" s="239">
        <v>37204205</v>
      </c>
      <c r="C704" s="1142" t="s">
        <v>571</v>
      </c>
      <c r="D704" s="1142"/>
      <c r="E704" s="240" t="s">
        <v>286</v>
      </c>
      <c r="F704" s="239" t="s">
        <v>443</v>
      </c>
      <c r="G704" s="1243">
        <v>26</v>
      </c>
      <c r="H704" s="1243"/>
      <c r="I704" s="1246" t="s">
        <v>444</v>
      </c>
      <c r="J704" s="1246"/>
      <c r="K704" s="737">
        <v>8</v>
      </c>
      <c r="L704" s="738">
        <v>0.30769230769230771</v>
      </c>
      <c r="M704" s="737">
        <v>0</v>
      </c>
      <c r="N704" s="738">
        <v>0</v>
      </c>
      <c r="O704" s="737">
        <v>17</v>
      </c>
      <c r="P704" s="738">
        <v>0.65384615384615385</v>
      </c>
      <c r="Q704" s="737">
        <v>0</v>
      </c>
      <c r="R704" s="738">
        <v>0</v>
      </c>
      <c r="S704" s="737">
        <v>1</v>
      </c>
      <c r="T704" s="738">
        <v>3.8461538461538464E-2</v>
      </c>
      <c r="U704" s="737">
        <v>0</v>
      </c>
      <c r="V704" s="738">
        <v>0</v>
      </c>
    </row>
    <row r="705" spans="1:22" ht="35.25" customHeight="1" thickBot="1" x14ac:dyDescent="0.3">
      <c r="B705" s="239">
        <v>37204209</v>
      </c>
      <c r="C705" s="1142" t="s">
        <v>572</v>
      </c>
      <c r="D705" s="1142"/>
      <c r="E705" s="273" t="s">
        <v>286</v>
      </c>
      <c r="F705" s="239" t="s">
        <v>443</v>
      </c>
      <c r="G705" s="1243">
        <v>32</v>
      </c>
      <c r="H705" s="1243"/>
      <c r="I705" s="1246" t="s">
        <v>444</v>
      </c>
      <c r="J705" s="1246"/>
      <c r="K705" s="737">
        <v>2</v>
      </c>
      <c r="L705" s="738">
        <v>6.25E-2</v>
      </c>
      <c r="M705" s="737">
        <v>0</v>
      </c>
      <c r="N705" s="738">
        <v>0</v>
      </c>
      <c r="O705" s="737">
        <v>16</v>
      </c>
      <c r="P705" s="738">
        <v>0.5</v>
      </c>
      <c r="Q705" s="737">
        <v>0</v>
      </c>
      <c r="R705" s="738">
        <v>0</v>
      </c>
      <c r="S705" s="737">
        <v>14</v>
      </c>
      <c r="T705" s="738">
        <v>0.4375</v>
      </c>
      <c r="U705" s="737">
        <v>0</v>
      </c>
      <c r="V705" s="738">
        <v>0</v>
      </c>
    </row>
    <row r="706" spans="1:22" ht="25.5" customHeight="1" thickBot="1" x14ac:dyDescent="0.3">
      <c r="B706" s="275">
        <v>37204206</v>
      </c>
      <c r="C706" s="1143" t="s">
        <v>574</v>
      </c>
      <c r="D706" s="1143"/>
      <c r="E706" s="276" t="s">
        <v>286</v>
      </c>
      <c r="F706" s="275" t="s">
        <v>443</v>
      </c>
      <c r="G706" s="1243">
        <v>15</v>
      </c>
      <c r="H706" s="1243"/>
      <c r="I706" s="1292" t="s">
        <v>444</v>
      </c>
      <c r="J706" s="1292"/>
      <c r="K706" s="737">
        <v>5</v>
      </c>
      <c r="L706" s="738">
        <v>0.33333333333333331</v>
      </c>
      <c r="M706" s="737">
        <v>0</v>
      </c>
      <c r="N706" s="738">
        <v>0</v>
      </c>
      <c r="O706" s="737">
        <v>10</v>
      </c>
      <c r="P706" s="738">
        <v>0.66666666666666663</v>
      </c>
      <c r="Q706" s="737">
        <v>0</v>
      </c>
      <c r="R706" s="738">
        <v>0</v>
      </c>
      <c r="S706" s="737">
        <v>0</v>
      </c>
      <c r="T706" s="738">
        <v>0</v>
      </c>
      <c r="U706" s="737">
        <v>0</v>
      </c>
      <c r="V706" s="738">
        <v>0</v>
      </c>
    </row>
    <row r="707" spans="1:22" ht="25.5" customHeight="1" thickBot="1" x14ac:dyDescent="0.3">
      <c r="B707" s="275">
        <v>37204226</v>
      </c>
      <c r="C707" s="1143" t="s">
        <v>899</v>
      </c>
      <c r="D707" s="1143"/>
      <c r="E707" s="276" t="s">
        <v>286</v>
      </c>
      <c r="F707" s="275" t="s">
        <v>443</v>
      </c>
      <c r="G707" s="1243">
        <v>28</v>
      </c>
      <c r="H707" s="1243"/>
      <c r="I707" s="1292" t="s">
        <v>444</v>
      </c>
      <c r="J707" s="1292"/>
      <c r="K707" s="737">
        <v>9</v>
      </c>
      <c r="L707" s="738">
        <v>0.32142857142857145</v>
      </c>
      <c r="M707" s="737">
        <v>0</v>
      </c>
      <c r="N707" s="738">
        <v>0</v>
      </c>
      <c r="O707" s="737">
        <v>18</v>
      </c>
      <c r="P707" s="738">
        <v>0.6428571428571429</v>
      </c>
      <c r="Q707" s="737">
        <v>0</v>
      </c>
      <c r="R707" s="738">
        <v>0</v>
      </c>
      <c r="S707" s="737">
        <v>1</v>
      </c>
      <c r="T707" s="738">
        <v>3.5714285714285712E-2</v>
      </c>
      <c r="U707" s="737">
        <v>0</v>
      </c>
      <c r="V707" s="738">
        <v>0</v>
      </c>
    </row>
    <row r="708" spans="1:22" ht="22.5" customHeight="1" thickBot="1" x14ac:dyDescent="0.3">
      <c r="B708" s="258">
        <v>37204225</v>
      </c>
      <c r="C708" s="1291" t="s">
        <v>900</v>
      </c>
      <c r="D708" s="1291"/>
      <c r="E708" s="274" t="s">
        <v>286</v>
      </c>
      <c r="F708" s="258" t="s">
        <v>443</v>
      </c>
      <c r="G708" s="1253">
        <v>30</v>
      </c>
      <c r="H708" s="1253"/>
      <c r="I708" s="1253" t="s">
        <v>444</v>
      </c>
      <c r="J708" s="1253"/>
      <c r="K708" s="737">
        <v>2</v>
      </c>
      <c r="L708" s="745">
        <v>6.6666666666666666E-2</v>
      </c>
      <c r="M708" s="737">
        <v>1</v>
      </c>
      <c r="N708" s="745">
        <v>3.3333333333333333E-2</v>
      </c>
      <c r="O708" s="737">
        <v>18</v>
      </c>
      <c r="P708" s="745">
        <v>0.6</v>
      </c>
      <c r="Q708" s="737">
        <v>0</v>
      </c>
      <c r="R708" s="745">
        <v>0</v>
      </c>
      <c r="S708" s="737">
        <v>8</v>
      </c>
      <c r="T708" s="745">
        <v>0.26666666666666666</v>
      </c>
      <c r="U708" s="737">
        <v>1</v>
      </c>
      <c r="V708" s="745">
        <v>3.3333333333333333E-2</v>
      </c>
    </row>
    <row r="709" spans="1:22" ht="15.75" thickBot="1" x14ac:dyDescent="0.3">
      <c r="B709" s="33"/>
      <c r="C709" s="1287" t="s">
        <v>473</v>
      </c>
      <c r="D709" s="1287"/>
      <c r="E709" s="237"/>
      <c r="F709" s="237"/>
      <c r="G709" s="1290">
        <f>SUM(G651:G708)</f>
        <v>3344</v>
      </c>
      <c r="H709" s="1290"/>
      <c r="I709" s="736"/>
      <c r="J709" s="736"/>
      <c r="K709" s="742">
        <f>SUM(K651:K708)</f>
        <v>1374</v>
      </c>
      <c r="L709" s="743"/>
      <c r="M709" s="742">
        <f>SUM(M651:M708)</f>
        <v>114</v>
      </c>
      <c r="N709" s="743"/>
      <c r="O709" s="742">
        <f>SUM(O651:O708)</f>
        <v>1231</v>
      </c>
      <c r="P709" s="743"/>
      <c r="Q709" s="742">
        <f>SUM(Q651:Q708)</f>
        <v>366</v>
      </c>
      <c r="R709" s="743"/>
      <c r="S709" s="742">
        <f>SUM(S651:S708)</f>
        <v>241</v>
      </c>
      <c r="T709" s="743"/>
      <c r="U709" s="742">
        <f>SUM(U651:U708)</f>
        <v>18</v>
      </c>
      <c r="V709" s="592"/>
    </row>
    <row r="710" spans="1:22" ht="15.75" thickBot="1" x14ac:dyDescent="0.3">
      <c r="B710" s="33"/>
      <c r="C710" s="1286" t="s">
        <v>474</v>
      </c>
      <c r="D710" s="1286"/>
      <c r="E710" s="237"/>
      <c r="F710" s="237"/>
      <c r="G710" s="1289">
        <f>SUM(G651:G664)</f>
        <v>1085</v>
      </c>
      <c r="H710" s="1289"/>
      <c r="I710" s="736"/>
      <c r="J710" s="736"/>
      <c r="K710" s="742">
        <f>SUM(K651:K664)</f>
        <v>521</v>
      </c>
      <c r="L710" s="743"/>
      <c r="M710" s="744">
        <f>SUM(M651:M664)</f>
        <v>67</v>
      </c>
      <c r="N710" s="743"/>
      <c r="O710" s="744">
        <f>SUM(O651:O664)</f>
        <v>250</v>
      </c>
      <c r="P710" s="743"/>
      <c r="Q710" s="744">
        <f>SUM(Q651:Q664)</f>
        <v>242</v>
      </c>
      <c r="R710" s="743"/>
      <c r="S710" s="744">
        <f>SUM(S651:S664)</f>
        <v>4</v>
      </c>
      <c r="T710" s="743"/>
      <c r="U710" s="744">
        <f>SUM(U651:U664)</f>
        <v>1</v>
      </c>
      <c r="V710" s="592"/>
    </row>
    <row r="711" spans="1:22" x14ac:dyDescent="0.25">
      <c r="B711" s="44" t="s">
        <v>1123</v>
      </c>
    </row>
    <row r="712" spans="1:22" x14ac:dyDescent="0.25">
      <c r="B712" s="44" t="s">
        <v>475</v>
      </c>
      <c r="G712" s="60"/>
      <c r="H712" s="60"/>
      <c r="I712" s="60"/>
      <c r="J712" s="60"/>
      <c r="K712" s="60"/>
      <c r="L712" s="60"/>
      <c r="M712" s="60"/>
      <c r="N712" s="60"/>
      <c r="O712" s="60"/>
      <c r="P712" s="60"/>
      <c r="Q712" s="60"/>
      <c r="R712" s="60"/>
    </row>
    <row r="713" spans="1:22" x14ac:dyDescent="0.25">
      <c r="B713" s="44" t="s">
        <v>476</v>
      </c>
      <c r="C713" s="71"/>
      <c r="G713" s="60"/>
      <c r="H713" s="60"/>
      <c r="I713" s="60"/>
      <c r="J713" s="60"/>
      <c r="K713" s="60"/>
      <c r="L713" s="60"/>
      <c r="M713" s="60"/>
      <c r="N713" s="60"/>
      <c r="O713" s="60"/>
      <c r="P713" s="60"/>
      <c r="Q713" s="60"/>
      <c r="R713" s="60"/>
    </row>
    <row r="714" spans="1:22" ht="15" customHeight="1" x14ac:dyDescent="0.25">
      <c r="B714" s="33" t="s">
        <v>477</v>
      </c>
      <c r="C714" s="71"/>
      <c r="D714" s="71"/>
      <c r="E714" s="71"/>
      <c r="F714" s="45"/>
      <c r="G714" s="45"/>
      <c r="H714" s="45"/>
      <c r="I714" s="45"/>
    </row>
    <row r="715" spans="1:22" x14ac:dyDescent="0.25">
      <c r="A715" s="33"/>
      <c r="F715" s="45"/>
      <c r="G715" s="45"/>
      <c r="H715" s="45"/>
      <c r="I715" s="45"/>
    </row>
    <row r="716" spans="1:22" x14ac:dyDescent="0.25">
      <c r="A716" s="33"/>
      <c r="B716" s="48"/>
      <c r="C716" s="45"/>
      <c r="D716" s="45"/>
      <c r="E716" s="45"/>
      <c r="F716" s="45"/>
      <c r="G716" s="45"/>
      <c r="H716" s="45"/>
      <c r="I716" s="45"/>
    </row>
    <row r="717" spans="1:22" x14ac:dyDescent="0.25">
      <c r="B717" s="661" t="s">
        <v>820</v>
      </c>
      <c r="C717" s="686"/>
      <c r="D717" s="686"/>
      <c r="E717" s="686"/>
      <c r="F717" s="661"/>
      <c r="G717" s="661"/>
      <c r="H717" s="661"/>
      <c r="I717" s="661"/>
      <c r="J717" s="518"/>
      <c r="K717" s="518"/>
      <c r="L717" s="518"/>
    </row>
    <row r="718" spans="1:22" x14ac:dyDescent="0.25">
      <c r="A718" s="48"/>
      <c r="B718" s="1315" t="s">
        <v>7</v>
      </c>
      <c r="C718" s="1315"/>
      <c r="D718" s="1315"/>
      <c r="E718" s="1315"/>
      <c r="F718" s="1315"/>
      <c r="G718" s="1315"/>
    </row>
    <row r="719" spans="1:22" ht="21" x14ac:dyDescent="0.25">
      <c r="B719" s="778" t="s">
        <v>249</v>
      </c>
      <c r="C719" s="778"/>
      <c r="D719" s="778"/>
      <c r="E719" s="201" t="s">
        <v>431</v>
      </c>
      <c r="F719" s="201" t="s">
        <v>478</v>
      </c>
      <c r="G719" s="201" t="s">
        <v>479</v>
      </c>
    </row>
    <row r="720" spans="1:22" ht="21.75" customHeight="1" thickBot="1" x14ac:dyDescent="0.3">
      <c r="B720" s="1141" t="s">
        <v>442</v>
      </c>
      <c r="C720" s="1141"/>
      <c r="D720" s="1141"/>
      <c r="E720" s="244" t="s">
        <v>259</v>
      </c>
      <c r="F720" s="746">
        <f t="shared" ref="F720:F756" si="0">SUM(K606,O606,S606,U606)/(G606-M606)</f>
        <v>0.63492063492063489</v>
      </c>
      <c r="G720" s="746">
        <f t="shared" ref="G720:G756" si="1">SUM(K606,O606,S606,U606)/G606</f>
        <v>0.63492063492063489</v>
      </c>
    </row>
    <row r="721" spans="2:7" ht="21.75" customHeight="1" thickBot="1" x14ac:dyDescent="0.3">
      <c r="B721" s="1141" t="s">
        <v>445</v>
      </c>
      <c r="C721" s="1141"/>
      <c r="D721" s="1141"/>
      <c r="E721" s="240" t="s">
        <v>259</v>
      </c>
      <c r="F721" s="746">
        <f t="shared" si="0"/>
        <v>0.90697674418604646</v>
      </c>
      <c r="G721" s="746">
        <f t="shared" si="1"/>
        <v>0.82978723404255317</v>
      </c>
    </row>
    <row r="722" spans="2:7" ht="15.75" customHeight="1" thickBot="1" x14ac:dyDescent="0.3">
      <c r="B722" s="1141" t="s">
        <v>270</v>
      </c>
      <c r="C722" s="1141"/>
      <c r="D722" s="1141"/>
      <c r="E722" s="240" t="s">
        <v>269</v>
      </c>
      <c r="F722" s="746">
        <f t="shared" si="0"/>
        <v>1</v>
      </c>
      <c r="G722" s="746">
        <f t="shared" si="1"/>
        <v>0.8936170212765957</v>
      </c>
    </row>
    <row r="723" spans="2:7" ht="15.75" customHeight="1" thickBot="1" x14ac:dyDescent="0.3">
      <c r="B723" s="1141" t="s">
        <v>515</v>
      </c>
      <c r="C723" s="1141"/>
      <c r="D723" s="1141"/>
      <c r="E723" s="240" t="s">
        <v>269</v>
      </c>
      <c r="F723" s="746">
        <f t="shared" si="0"/>
        <v>0.95454545454545459</v>
      </c>
      <c r="G723" s="746">
        <f t="shared" si="1"/>
        <v>0.82352941176470584</v>
      </c>
    </row>
    <row r="724" spans="2:7" ht="15.75" customHeight="1" thickBot="1" x14ac:dyDescent="0.3">
      <c r="B724" s="1141" t="s">
        <v>447</v>
      </c>
      <c r="C724" s="1141"/>
      <c r="D724" s="1141"/>
      <c r="E724" s="240" t="s">
        <v>269</v>
      </c>
      <c r="F724" s="746">
        <f t="shared" si="0"/>
        <v>0.96969696969696972</v>
      </c>
      <c r="G724" s="746">
        <f t="shared" si="1"/>
        <v>0.82051282051282048</v>
      </c>
    </row>
    <row r="725" spans="2:7" ht="21.75" thickBot="1" x14ac:dyDescent="0.3">
      <c r="B725" s="1141" t="s">
        <v>448</v>
      </c>
      <c r="C725" s="1141"/>
      <c r="D725" s="1141"/>
      <c r="E725" s="240" t="s">
        <v>259</v>
      </c>
      <c r="F725" s="746">
        <f t="shared" si="0"/>
        <v>0.2711864406779661</v>
      </c>
      <c r="G725" s="746">
        <f t="shared" si="1"/>
        <v>0.24242424242424243</v>
      </c>
    </row>
    <row r="726" spans="2:7" ht="28.5" customHeight="1" thickBot="1" x14ac:dyDescent="0.3">
      <c r="B726" s="1141" t="s">
        <v>449</v>
      </c>
      <c r="C726" s="1141"/>
      <c r="D726" s="1141"/>
      <c r="E726" s="240" t="s">
        <v>259</v>
      </c>
      <c r="F726" s="746">
        <f t="shared" si="0"/>
        <v>0.75510204081632648</v>
      </c>
      <c r="G726" s="746">
        <f t="shared" si="1"/>
        <v>0.71153846153846156</v>
      </c>
    </row>
    <row r="727" spans="2:7" ht="15.75" customHeight="1" thickBot="1" x14ac:dyDescent="0.3">
      <c r="B727" s="1141" t="s">
        <v>450</v>
      </c>
      <c r="C727" s="1141"/>
      <c r="D727" s="1141"/>
      <c r="E727" s="240" t="s">
        <v>269</v>
      </c>
      <c r="F727" s="746">
        <f t="shared" si="0"/>
        <v>0.93333333333333335</v>
      </c>
      <c r="G727" s="746">
        <f t="shared" si="1"/>
        <v>0.91304347826086951</v>
      </c>
    </row>
    <row r="728" spans="2:7" ht="21.75" thickBot="1" x14ac:dyDescent="0.3">
      <c r="B728" s="1141" t="s">
        <v>451</v>
      </c>
      <c r="C728" s="1141"/>
      <c r="D728" s="1141"/>
      <c r="E728" s="240" t="s">
        <v>259</v>
      </c>
      <c r="F728" s="746">
        <f t="shared" si="0"/>
        <v>0.93023255813953487</v>
      </c>
      <c r="G728" s="746">
        <f t="shared" si="1"/>
        <v>0.90909090909090906</v>
      </c>
    </row>
    <row r="729" spans="2:7" ht="21.75" thickBot="1" x14ac:dyDescent="0.3">
      <c r="B729" s="1141" t="s">
        <v>1094</v>
      </c>
      <c r="C729" s="1141"/>
      <c r="D729" s="1141"/>
      <c r="E729" s="240" t="s">
        <v>259</v>
      </c>
      <c r="F729" s="746">
        <f t="shared" si="0"/>
        <v>0.43243243243243246</v>
      </c>
      <c r="G729" s="746">
        <f t="shared" si="1"/>
        <v>0.39506172839506171</v>
      </c>
    </row>
    <row r="730" spans="2:7" ht="21.75" customHeight="1" thickBot="1" x14ac:dyDescent="0.3">
      <c r="B730" s="1141" t="s">
        <v>453</v>
      </c>
      <c r="C730" s="1141"/>
      <c r="D730" s="1141"/>
      <c r="E730" s="240" t="s">
        <v>259</v>
      </c>
      <c r="F730" s="746">
        <f t="shared" si="0"/>
        <v>0.89130434782608692</v>
      </c>
      <c r="G730" s="746">
        <f t="shared" si="1"/>
        <v>0.80392156862745101</v>
      </c>
    </row>
    <row r="731" spans="2:7" ht="21.75" customHeight="1" thickBot="1" x14ac:dyDescent="0.3">
      <c r="B731" s="1141" t="s">
        <v>454</v>
      </c>
      <c r="C731" s="1141"/>
      <c r="D731" s="1141"/>
      <c r="E731" s="240" t="s">
        <v>259</v>
      </c>
      <c r="F731" s="746">
        <f t="shared" si="0"/>
        <v>0.72727272727272729</v>
      </c>
      <c r="G731" s="746">
        <f t="shared" si="1"/>
        <v>0.71111111111111114</v>
      </c>
    </row>
    <row r="732" spans="2:7" ht="21.75" customHeight="1" thickBot="1" x14ac:dyDescent="0.3">
      <c r="B732" s="1141" t="s">
        <v>455</v>
      </c>
      <c r="C732" s="1141"/>
      <c r="D732" s="1141"/>
      <c r="E732" s="240" t="s">
        <v>259</v>
      </c>
      <c r="F732" s="746">
        <f t="shared" si="0"/>
        <v>0.88636363636363635</v>
      </c>
      <c r="G732" s="746">
        <f t="shared" si="1"/>
        <v>0.8666666666666667</v>
      </c>
    </row>
    <row r="733" spans="2:7" ht="15.75" customHeight="1" thickBot="1" x14ac:dyDescent="0.3">
      <c r="B733" s="1141" t="s">
        <v>456</v>
      </c>
      <c r="C733" s="1141"/>
      <c r="D733" s="1141"/>
      <c r="E733" s="240" t="s">
        <v>269</v>
      </c>
      <c r="F733" s="746">
        <f t="shared" si="0"/>
        <v>0.95121951219512191</v>
      </c>
      <c r="G733" s="746">
        <f t="shared" si="1"/>
        <v>0.9285714285714286</v>
      </c>
    </row>
    <row r="734" spans="2:7" ht="15.75" customHeight="1" thickBot="1" x14ac:dyDescent="0.3">
      <c r="B734" s="1141" t="s">
        <v>457</v>
      </c>
      <c r="C734" s="1141"/>
      <c r="D734" s="1141"/>
      <c r="E734" s="240" t="s">
        <v>269</v>
      </c>
      <c r="F734" s="746">
        <f t="shared" si="0"/>
        <v>0.9285714285714286</v>
      </c>
      <c r="G734" s="746">
        <f t="shared" si="1"/>
        <v>0.89655172413793105</v>
      </c>
    </row>
    <row r="735" spans="2:7" ht="15.75" customHeight="1" thickBot="1" x14ac:dyDescent="0.3">
      <c r="B735" s="1141" t="s">
        <v>458</v>
      </c>
      <c r="C735" s="1141"/>
      <c r="D735" s="1141"/>
      <c r="E735" s="240" t="s">
        <v>269</v>
      </c>
      <c r="F735" s="746">
        <f t="shared" si="0"/>
        <v>0.44285714285714284</v>
      </c>
      <c r="G735" s="746">
        <f t="shared" si="1"/>
        <v>0.44285714285714284</v>
      </c>
    </row>
    <row r="736" spans="2:7" ht="21.75" customHeight="1" thickBot="1" x14ac:dyDescent="0.3">
      <c r="B736" s="1141" t="s">
        <v>459</v>
      </c>
      <c r="C736" s="1141"/>
      <c r="D736" s="1141"/>
      <c r="E736" s="240" t="s">
        <v>259</v>
      </c>
      <c r="F736" s="746">
        <f t="shared" si="0"/>
        <v>0.88888888888888884</v>
      </c>
      <c r="G736" s="746">
        <f t="shared" si="1"/>
        <v>0.72727272727272729</v>
      </c>
    </row>
    <row r="737" spans="2:7" ht="27" customHeight="1" thickBot="1" x14ac:dyDescent="0.3">
      <c r="B737" s="1141" t="s">
        <v>460</v>
      </c>
      <c r="C737" s="1141"/>
      <c r="D737" s="1141"/>
      <c r="E737" s="240" t="s">
        <v>269</v>
      </c>
      <c r="F737" s="746">
        <f t="shared" si="0"/>
        <v>0.87804878048780488</v>
      </c>
      <c r="G737" s="746">
        <f t="shared" si="1"/>
        <v>0.8</v>
      </c>
    </row>
    <row r="738" spans="2:7" ht="15.75" customHeight="1" thickBot="1" x14ac:dyDescent="0.3">
      <c r="B738" s="1141" t="s">
        <v>461</v>
      </c>
      <c r="C738" s="1141"/>
      <c r="D738" s="1141"/>
      <c r="E738" s="240" t="s">
        <v>269</v>
      </c>
      <c r="F738" s="746">
        <f t="shared" si="0"/>
        <v>0.97222222222222221</v>
      </c>
      <c r="G738" s="746">
        <f t="shared" si="1"/>
        <v>0.97222222222222221</v>
      </c>
    </row>
    <row r="739" spans="2:7" ht="15.75" customHeight="1" thickBot="1" x14ac:dyDescent="0.3">
      <c r="B739" s="1141" t="s">
        <v>276</v>
      </c>
      <c r="C739" s="1141"/>
      <c r="D739" s="1141"/>
      <c r="E739" s="240" t="s">
        <v>269</v>
      </c>
      <c r="F739" s="746">
        <f t="shared" si="0"/>
        <v>1</v>
      </c>
      <c r="G739" s="746">
        <f t="shared" si="1"/>
        <v>0.97142857142857142</v>
      </c>
    </row>
    <row r="740" spans="2:7" ht="15.75" customHeight="1" thickBot="1" x14ac:dyDescent="0.3">
      <c r="B740" s="1141" t="s">
        <v>462</v>
      </c>
      <c r="C740" s="1141"/>
      <c r="D740" s="1141"/>
      <c r="E740" s="240" t="s">
        <v>269</v>
      </c>
      <c r="F740" s="746">
        <f t="shared" si="0"/>
        <v>0.61764705882352944</v>
      </c>
      <c r="G740" s="746">
        <f t="shared" si="1"/>
        <v>0.6</v>
      </c>
    </row>
    <row r="741" spans="2:7" ht="24" customHeight="1" thickBot="1" x14ac:dyDescent="0.3">
      <c r="B741" s="1141" t="s">
        <v>463</v>
      </c>
      <c r="C741" s="1141"/>
      <c r="D741" s="1141"/>
      <c r="E741" s="240" t="s">
        <v>269</v>
      </c>
      <c r="F741" s="746">
        <f t="shared" si="0"/>
        <v>0.97435897435897434</v>
      </c>
      <c r="G741" s="746">
        <f t="shared" si="1"/>
        <v>0.90476190476190477</v>
      </c>
    </row>
    <row r="742" spans="2:7" ht="15.75" customHeight="1" thickBot="1" x14ac:dyDescent="0.3">
      <c r="B742" s="1141" t="s">
        <v>280</v>
      </c>
      <c r="C742" s="1141"/>
      <c r="D742" s="1141"/>
      <c r="E742" s="240" t="s">
        <v>269</v>
      </c>
      <c r="F742" s="746">
        <f t="shared" si="0"/>
        <v>1</v>
      </c>
      <c r="G742" s="746">
        <f t="shared" si="1"/>
        <v>1</v>
      </c>
    </row>
    <row r="743" spans="2:7" ht="25.5" customHeight="1" thickBot="1" x14ac:dyDescent="0.3">
      <c r="B743" s="1141" t="s">
        <v>464</v>
      </c>
      <c r="C743" s="1141"/>
      <c r="D743" s="1141"/>
      <c r="E743" s="240" t="s">
        <v>269</v>
      </c>
      <c r="F743" s="746">
        <f t="shared" si="0"/>
        <v>0.90625</v>
      </c>
      <c r="G743" s="746">
        <f t="shared" si="1"/>
        <v>0.8529411764705882</v>
      </c>
    </row>
    <row r="744" spans="2:7" ht="22.5" customHeight="1" thickBot="1" x14ac:dyDescent="0.3">
      <c r="B744" s="1141" t="s">
        <v>283</v>
      </c>
      <c r="C744" s="1141"/>
      <c r="D744" s="1141"/>
      <c r="E744" s="240" t="s">
        <v>269</v>
      </c>
      <c r="F744" s="746">
        <f t="shared" si="0"/>
        <v>0.97435897435897434</v>
      </c>
      <c r="G744" s="746">
        <f t="shared" si="1"/>
        <v>0.97435897435897434</v>
      </c>
    </row>
    <row r="745" spans="2:7" ht="15.75" customHeight="1" thickBot="1" x14ac:dyDescent="0.3">
      <c r="B745" s="1141" t="s">
        <v>284</v>
      </c>
      <c r="C745" s="1141"/>
      <c r="D745" s="1141"/>
      <c r="E745" s="240" t="s">
        <v>269</v>
      </c>
      <c r="F745" s="746">
        <f t="shared" si="0"/>
        <v>1</v>
      </c>
      <c r="G745" s="746">
        <f t="shared" si="1"/>
        <v>1</v>
      </c>
    </row>
    <row r="746" spans="2:7" ht="22.5" customHeight="1" thickBot="1" x14ac:dyDescent="0.3">
      <c r="B746" s="1141" t="s">
        <v>465</v>
      </c>
      <c r="C746" s="1141"/>
      <c r="D746" s="1141"/>
      <c r="E746" s="240" t="s">
        <v>269</v>
      </c>
      <c r="F746" s="746">
        <f t="shared" si="0"/>
        <v>1</v>
      </c>
      <c r="G746" s="746">
        <f t="shared" si="1"/>
        <v>1</v>
      </c>
    </row>
    <row r="747" spans="2:7" ht="15.75" customHeight="1" thickBot="1" x14ac:dyDescent="0.3">
      <c r="B747" s="1141" t="s">
        <v>278</v>
      </c>
      <c r="C747" s="1141"/>
      <c r="D747" s="1141"/>
      <c r="E747" s="240" t="s">
        <v>269</v>
      </c>
      <c r="F747" s="746">
        <f t="shared" si="0"/>
        <v>1</v>
      </c>
      <c r="G747" s="746">
        <f t="shared" si="1"/>
        <v>0.95238095238095233</v>
      </c>
    </row>
    <row r="748" spans="2:7" ht="15.75" customHeight="1" thickBot="1" x14ac:dyDescent="0.3">
      <c r="B748" s="1141" t="s">
        <v>282</v>
      </c>
      <c r="C748" s="1141"/>
      <c r="D748" s="1141"/>
      <c r="E748" s="240" t="s">
        <v>269</v>
      </c>
      <c r="F748" s="746">
        <f t="shared" si="0"/>
        <v>1</v>
      </c>
      <c r="G748" s="746">
        <f t="shared" si="1"/>
        <v>0.95</v>
      </c>
    </row>
    <row r="749" spans="2:7" ht="15.75" customHeight="1" thickBot="1" x14ac:dyDescent="0.3">
      <c r="B749" s="1141" t="s">
        <v>285</v>
      </c>
      <c r="C749" s="1141"/>
      <c r="D749" s="1141"/>
      <c r="E749" s="240" t="s">
        <v>269</v>
      </c>
      <c r="F749" s="746">
        <f t="shared" si="0"/>
        <v>0.95652173913043481</v>
      </c>
      <c r="G749" s="746">
        <f t="shared" si="1"/>
        <v>0.91666666666666663</v>
      </c>
    </row>
    <row r="750" spans="2:7" ht="25.5" customHeight="1" thickBot="1" x14ac:dyDescent="0.3">
      <c r="B750" s="1141" t="s">
        <v>466</v>
      </c>
      <c r="C750" s="1141"/>
      <c r="D750" s="1141"/>
      <c r="E750" s="240" t="s">
        <v>269</v>
      </c>
      <c r="F750" s="746">
        <f t="shared" si="0"/>
        <v>1</v>
      </c>
      <c r="G750" s="746">
        <f t="shared" si="1"/>
        <v>1</v>
      </c>
    </row>
    <row r="751" spans="2:7" ht="24" customHeight="1" thickBot="1" x14ac:dyDescent="0.3">
      <c r="B751" s="1141" t="s">
        <v>467</v>
      </c>
      <c r="C751" s="1141"/>
      <c r="D751" s="1141"/>
      <c r="E751" s="240" t="s">
        <v>286</v>
      </c>
      <c r="F751" s="746">
        <f t="shared" si="0"/>
        <v>1</v>
      </c>
      <c r="G751" s="746">
        <f t="shared" si="1"/>
        <v>1</v>
      </c>
    </row>
    <row r="752" spans="2:7" ht="24.75" customHeight="1" thickBot="1" x14ac:dyDescent="0.3">
      <c r="B752" s="1141" t="s">
        <v>468</v>
      </c>
      <c r="C752" s="1141"/>
      <c r="D752" s="1141"/>
      <c r="E752" s="240" t="s">
        <v>286</v>
      </c>
      <c r="F752" s="746">
        <f t="shared" si="0"/>
        <v>1</v>
      </c>
      <c r="G752" s="746">
        <f t="shared" si="1"/>
        <v>1</v>
      </c>
    </row>
    <row r="753" spans="2:7" ht="23.25" customHeight="1" thickBot="1" x14ac:dyDescent="0.3">
      <c r="B753" s="1141" t="s">
        <v>470</v>
      </c>
      <c r="C753" s="1141"/>
      <c r="D753" s="1141"/>
      <c r="E753" s="240" t="s">
        <v>286</v>
      </c>
      <c r="F753" s="746">
        <f t="shared" si="0"/>
        <v>1</v>
      </c>
      <c r="G753" s="746">
        <f t="shared" si="1"/>
        <v>1</v>
      </c>
    </row>
    <row r="754" spans="2:7" ht="23.25" customHeight="1" thickBot="1" x14ac:dyDescent="0.3">
      <c r="B754" s="1141" t="s">
        <v>469</v>
      </c>
      <c r="C754" s="1141"/>
      <c r="D754" s="1141"/>
      <c r="E754" s="240" t="s">
        <v>286</v>
      </c>
      <c r="F754" s="746">
        <f t="shared" si="0"/>
        <v>1</v>
      </c>
      <c r="G754" s="746">
        <f t="shared" si="1"/>
        <v>1</v>
      </c>
    </row>
    <row r="755" spans="2:7" ht="15.75" customHeight="1" thickBot="1" x14ac:dyDescent="0.3">
      <c r="B755" s="1141" t="s">
        <v>288</v>
      </c>
      <c r="C755" s="1141"/>
      <c r="D755" s="1141"/>
      <c r="E755" s="240" t="s">
        <v>269</v>
      </c>
      <c r="F755" s="746">
        <f t="shared" si="0"/>
        <v>1</v>
      </c>
      <c r="G755" s="746">
        <f t="shared" si="1"/>
        <v>1</v>
      </c>
    </row>
    <row r="756" spans="2:7" ht="15.75" customHeight="1" thickBot="1" x14ac:dyDescent="0.3">
      <c r="B756" s="1299" t="s">
        <v>472</v>
      </c>
      <c r="C756" s="1299"/>
      <c r="D756" s="1299"/>
      <c r="E756" s="242" t="s">
        <v>269</v>
      </c>
      <c r="F756" s="747">
        <f t="shared" si="0"/>
        <v>0.95</v>
      </c>
      <c r="G756" s="747">
        <f t="shared" si="1"/>
        <v>0.70370370370370372</v>
      </c>
    </row>
    <row r="757" spans="2:7" x14ac:dyDescent="0.25">
      <c r="B757" s="61"/>
      <c r="C757" s="62"/>
      <c r="D757" s="63"/>
      <c r="E757" s="63"/>
      <c r="F757" s="64"/>
    </row>
    <row r="758" spans="2:7" x14ac:dyDescent="0.25">
      <c r="B758" s="1315" t="s">
        <v>8</v>
      </c>
      <c r="C758" s="1315"/>
      <c r="D758" s="1315"/>
      <c r="E758" s="1315"/>
      <c r="F758" s="1315"/>
      <c r="G758" s="1315"/>
    </row>
    <row r="759" spans="2:7" ht="21" x14ac:dyDescent="0.25">
      <c r="B759" s="778" t="s">
        <v>249</v>
      </c>
      <c r="C759" s="778"/>
      <c r="D759" s="778"/>
      <c r="E759" s="201" t="s">
        <v>431</v>
      </c>
      <c r="F759" s="201" t="s">
        <v>478</v>
      </c>
      <c r="G759" s="201" t="s">
        <v>479</v>
      </c>
    </row>
    <row r="760" spans="2:7" ht="21.75" thickBot="1" x14ac:dyDescent="0.3">
      <c r="B760" s="1141" t="s">
        <v>521</v>
      </c>
      <c r="C760" s="1141"/>
      <c r="D760" s="1141"/>
      <c r="E760" s="244" t="s">
        <v>259</v>
      </c>
      <c r="F760" s="746">
        <f>SUM(K651,O651,S651,U651)/(G651-M651)</f>
        <v>0.75757575757575757</v>
      </c>
      <c r="G760" s="746">
        <f>SUM(K651,O651,S651,U651)/G651</f>
        <v>0.70754716981132071</v>
      </c>
    </row>
    <row r="761" spans="2:7" ht="21.75" thickBot="1" x14ac:dyDescent="0.3">
      <c r="B761" s="1141" t="s">
        <v>1117</v>
      </c>
      <c r="C761" s="1141"/>
      <c r="D761" s="1141"/>
      <c r="E761" s="244" t="s">
        <v>259</v>
      </c>
      <c r="F761" s="746">
        <f>SUM(K652,O652,S652,U652)/(G652-M652)</f>
        <v>0</v>
      </c>
      <c r="G761" s="746">
        <f>SUM(K652,O652,S652,U652)/G652</f>
        <v>0</v>
      </c>
    </row>
    <row r="762" spans="2:7" ht="21.75" thickBot="1" x14ac:dyDescent="0.3">
      <c r="B762" s="1145" t="s">
        <v>896</v>
      </c>
      <c r="C762" s="1145"/>
      <c r="D762" s="1145"/>
      <c r="E762" s="244" t="s">
        <v>259</v>
      </c>
      <c r="F762" s="746">
        <f t="shared" ref="F762:F785" si="2">SUM(K653,O653,S653,U653)/(G653-M653)</f>
        <v>0.81481481481481477</v>
      </c>
      <c r="G762" s="746">
        <f>SUM(K653,O653,S653,U653)/G653</f>
        <v>0.76744186046511631</v>
      </c>
    </row>
    <row r="763" spans="2:7" ht="21.75" thickBot="1" x14ac:dyDescent="0.3">
      <c r="B763" s="1141" t="s">
        <v>522</v>
      </c>
      <c r="C763" s="1141"/>
      <c r="D763" s="1141"/>
      <c r="E763" s="240" t="s">
        <v>259</v>
      </c>
      <c r="F763" s="746">
        <f t="shared" si="2"/>
        <v>0.7528089887640449</v>
      </c>
      <c r="G763" s="746">
        <f>SUM(K654,O654,S654,U654)/G654</f>
        <v>0.69791666666666663</v>
      </c>
    </row>
    <row r="764" spans="2:7" ht="21.75" thickBot="1" x14ac:dyDescent="0.3">
      <c r="B764" s="1141" t="s">
        <v>1118</v>
      </c>
      <c r="C764" s="1141"/>
      <c r="D764" s="1141"/>
      <c r="E764" s="240" t="s">
        <v>259</v>
      </c>
      <c r="F764" s="746" t="e">
        <f>SUM(K655,O655,S655,U655)/(G655-M655)</f>
        <v>#DIV/0!</v>
      </c>
      <c r="G764" s="746">
        <f>SUM(K655,O655,S655,U655)/G655</f>
        <v>0</v>
      </c>
    </row>
    <row r="765" spans="2:7" ht="21.75" thickBot="1" x14ac:dyDescent="0.3">
      <c r="B765" s="1145" t="s">
        <v>897</v>
      </c>
      <c r="C765" s="1145"/>
      <c r="D765" s="1145"/>
      <c r="E765" s="240" t="s">
        <v>259</v>
      </c>
      <c r="F765" s="746">
        <f t="shared" si="2"/>
        <v>0.83582089552238803</v>
      </c>
      <c r="G765" s="746">
        <f t="shared" ref="G765:G780" si="3">SUM(K656,O656,S656,U656)/G656</f>
        <v>0.77777777777777779</v>
      </c>
    </row>
    <row r="766" spans="2:7" ht="21.75" thickBot="1" x14ac:dyDescent="0.3">
      <c r="B766" s="1141" t="s">
        <v>523</v>
      </c>
      <c r="C766" s="1141"/>
      <c r="D766" s="1141"/>
      <c r="E766" s="240" t="s">
        <v>259</v>
      </c>
      <c r="F766" s="746">
        <f t="shared" si="2"/>
        <v>0.64583333333333337</v>
      </c>
      <c r="G766" s="746">
        <f t="shared" si="3"/>
        <v>0.62</v>
      </c>
    </row>
    <row r="767" spans="2:7" ht="21.75" thickBot="1" x14ac:dyDescent="0.3">
      <c r="B767" s="1141" t="s">
        <v>524</v>
      </c>
      <c r="C767" s="1141"/>
      <c r="D767" s="1141"/>
      <c r="E767" s="240" t="s">
        <v>259</v>
      </c>
      <c r="F767" s="746">
        <f t="shared" si="2"/>
        <v>0.9375</v>
      </c>
      <c r="G767" s="746">
        <f>SUM(K658,O658,S658,U658)/G658</f>
        <v>0.8928571428571429</v>
      </c>
    </row>
    <row r="768" spans="2:7" ht="21.75" thickBot="1" x14ac:dyDescent="0.3">
      <c r="B768" s="1141" t="s">
        <v>525</v>
      </c>
      <c r="C768" s="1141"/>
      <c r="D768" s="1141"/>
      <c r="E768" s="240" t="s">
        <v>259</v>
      </c>
      <c r="F768" s="746">
        <f>SUM(K659,O659,S659,U659)/(G659-M659)</f>
        <v>0.4152542372881356</v>
      </c>
      <c r="G768" s="746">
        <f t="shared" si="3"/>
        <v>0.40163934426229508</v>
      </c>
    </row>
    <row r="769" spans="2:7" ht="21.75" thickBot="1" x14ac:dyDescent="0.3">
      <c r="B769" s="1141" t="s">
        <v>526</v>
      </c>
      <c r="C769" s="1141"/>
      <c r="D769" s="1141"/>
      <c r="E769" s="240" t="s">
        <v>259</v>
      </c>
      <c r="F769" s="746">
        <f>SUM(K660,O660,S660,U660)/(G660-M660)</f>
        <v>0.56603773584905659</v>
      </c>
      <c r="G769" s="746">
        <f t="shared" si="3"/>
        <v>0.51282051282051277</v>
      </c>
    </row>
    <row r="770" spans="2:7" ht="21" customHeight="1" thickBot="1" x14ac:dyDescent="0.3">
      <c r="B770" s="1141" t="s">
        <v>527</v>
      </c>
      <c r="C770" s="1141"/>
      <c r="D770" s="1141"/>
      <c r="E770" s="240" t="s">
        <v>269</v>
      </c>
      <c r="F770" s="746">
        <f>SUM(K661,O661,S661,U661)/(G661-M661)</f>
        <v>0.90909090909090906</v>
      </c>
      <c r="G770" s="746">
        <f t="shared" si="3"/>
        <v>0.875</v>
      </c>
    </row>
    <row r="771" spans="2:7" ht="27.75" customHeight="1" thickBot="1" x14ac:dyDescent="0.3">
      <c r="B771" s="1141" t="s">
        <v>528</v>
      </c>
      <c r="C771" s="1141"/>
      <c r="D771" s="1141"/>
      <c r="E771" s="240" t="s">
        <v>269</v>
      </c>
      <c r="F771" s="746">
        <f>SUM(K662,O662,S662,U662)/(G662-M662)</f>
        <v>1</v>
      </c>
      <c r="G771" s="746">
        <f t="shared" si="3"/>
        <v>0.97101449275362317</v>
      </c>
    </row>
    <row r="772" spans="2:7" ht="23.25" customHeight="1" thickBot="1" x14ac:dyDescent="0.3">
      <c r="B772" s="1141" t="s">
        <v>529</v>
      </c>
      <c r="C772" s="1141"/>
      <c r="D772" s="1141"/>
      <c r="E772" s="240" t="s">
        <v>269</v>
      </c>
      <c r="F772" s="746">
        <f t="shared" si="2"/>
        <v>0.9850746268656716</v>
      </c>
      <c r="G772" s="746">
        <f t="shared" si="3"/>
        <v>0.92957746478873238</v>
      </c>
    </row>
    <row r="773" spans="2:7" ht="15.75" thickBot="1" x14ac:dyDescent="0.3">
      <c r="B773" s="1141" t="s">
        <v>530</v>
      </c>
      <c r="C773" s="1141"/>
      <c r="D773" s="1141"/>
      <c r="E773" s="240" t="s">
        <v>269</v>
      </c>
      <c r="F773" s="746">
        <f>SUM(K664,O664,S664,U664)/(G664-M664)</f>
        <v>0.9</v>
      </c>
      <c r="G773" s="746">
        <f t="shared" si="3"/>
        <v>0.80769230769230771</v>
      </c>
    </row>
    <row r="774" spans="2:7" ht="21.75" thickBot="1" x14ac:dyDescent="0.3">
      <c r="B774" s="1141" t="s">
        <v>531</v>
      </c>
      <c r="C774" s="1141"/>
      <c r="D774" s="1141"/>
      <c r="E774" s="240" t="s">
        <v>259</v>
      </c>
      <c r="F774" s="746">
        <f t="shared" si="2"/>
        <v>0.5</v>
      </c>
      <c r="G774" s="746">
        <f t="shared" si="3"/>
        <v>0.43103448275862066</v>
      </c>
    </row>
    <row r="775" spans="2:7" ht="15.75" thickBot="1" x14ac:dyDescent="0.3">
      <c r="B775" s="1141" t="s">
        <v>532</v>
      </c>
      <c r="C775" s="1141"/>
      <c r="D775" s="1141"/>
      <c r="E775" s="240" t="s">
        <v>269</v>
      </c>
      <c r="F775" s="746">
        <f t="shared" si="2"/>
        <v>0.9375</v>
      </c>
      <c r="G775" s="746">
        <f t="shared" si="3"/>
        <v>0.88235294117647056</v>
      </c>
    </row>
    <row r="776" spans="2:7" ht="15.75" thickBot="1" x14ac:dyDescent="0.3">
      <c r="B776" s="1141" t="s">
        <v>533</v>
      </c>
      <c r="C776" s="1141"/>
      <c r="D776" s="1141"/>
      <c r="E776" s="240" t="s">
        <v>269</v>
      </c>
      <c r="F776" s="746">
        <f>SUM(K667,O667,S667,U667)/(G667-M667)</f>
        <v>0.9152542372881356</v>
      </c>
      <c r="G776" s="746">
        <f t="shared" si="3"/>
        <v>0.87096774193548387</v>
      </c>
    </row>
    <row r="777" spans="2:7" ht="21.75" thickBot="1" x14ac:dyDescent="0.3">
      <c r="B777" s="1141" t="s">
        <v>534</v>
      </c>
      <c r="C777" s="1141"/>
      <c r="D777" s="1141"/>
      <c r="E777" s="240" t="s">
        <v>259</v>
      </c>
      <c r="F777" s="746">
        <f>SUM(K668,O668,S668,U668)/(G668-M668)</f>
        <v>0.8392857142857143</v>
      </c>
      <c r="G777" s="746">
        <f t="shared" si="3"/>
        <v>0.82456140350877194</v>
      </c>
    </row>
    <row r="778" spans="2:7" ht="22.5" customHeight="1" thickBot="1" x14ac:dyDescent="0.3">
      <c r="B778" s="1141" t="s">
        <v>535</v>
      </c>
      <c r="C778" s="1141"/>
      <c r="D778" s="1141"/>
      <c r="E778" s="240" t="s">
        <v>269</v>
      </c>
      <c r="F778" s="746">
        <f>SUM(K669,O669,S669,U669)/(G669-M669)</f>
        <v>1</v>
      </c>
      <c r="G778" s="746">
        <f t="shared" si="3"/>
        <v>0.95238095238095233</v>
      </c>
    </row>
    <row r="779" spans="2:7" ht="15.75" thickBot="1" x14ac:dyDescent="0.3">
      <c r="B779" s="1141" t="s">
        <v>536</v>
      </c>
      <c r="C779" s="1141"/>
      <c r="D779" s="1141"/>
      <c r="E779" s="240" t="s">
        <v>269</v>
      </c>
      <c r="F779" s="746">
        <f>SUM(K670,O670,S670,U670)/(G670-M670)</f>
        <v>0.96610169491525422</v>
      </c>
      <c r="G779" s="746">
        <f t="shared" si="3"/>
        <v>0.95</v>
      </c>
    </row>
    <row r="780" spans="2:7" ht="25.5" customHeight="1" thickBot="1" x14ac:dyDescent="0.3">
      <c r="B780" s="1141" t="s">
        <v>537</v>
      </c>
      <c r="C780" s="1141"/>
      <c r="D780" s="1141"/>
      <c r="E780" s="240" t="s">
        <v>269</v>
      </c>
      <c r="F780" s="746">
        <f>SUM(K671,O671,S671,U671)/(G671-M671)</f>
        <v>0.9285714285714286</v>
      </c>
      <c r="G780" s="746">
        <f t="shared" si="3"/>
        <v>0.90277777777777779</v>
      </c>
    </row>
    <row r="781" spans="2:7" ht="15.75" thickBot="1" x14ac:dyDescent="0.3">
      <c r="B781" s="1141" t="s">
        <v>538</v>
      </c>
      <c r="C781" s="1141"/>
      <c r="D781" s="1141"/>
      <c r="E781" s="240" t="s">
        <v>269</v>
      </c>
      <c r="F781" s="746">
        <f t="shared" si="2"/>
        <v>0.80851063829787229</v>
      </c>
      <c r="G781" s="746">
        <f t="shared" ref="G781:G787" si="4">SUM(K672,O672,S672,U672)/G672</f>
        <v>0.76767676767676762</v>
      </c>
    </row>
    <row r="782" spans="2:7" ht="15.75" thickBot="1" x14ac:dyDescent="0.3">
      <c r="B782" s="1141" t="s">
        <v>539</v>
      </c>
      <c r="C782" s="1141"/>
      <c r="D782" s="1141"/>
      <c r="E782" s="240" t="s">
        <v>269</v>
      </c>
      <c r="F782" s="746">
        <f t="shared" si="2"/>
        <v>1</v>
      </c>
      <c r="G782" s="746">
        <f t="shared" si="4"/>
        <v>0.97959183673469385</v>
      </c>
    </row>
    <row r="783" spans="2:7" ht="24" customHeight="1" thickBot="1" x14ac:dyDescent="0.3">
      <c r="B783" s="1141" t="s">
        <v>540</v>
      </c>
      <c r="C783" s="1141"/>
      <c r="D783" s="1141"/>
      <c r="E783" s="240" t="s">
        <v>269</v>
      </c>
      <c r="F783" s="746">
        <f>SUM(K674,O674,S674,U674)/(G674-M674)</f>
        <v>0.73770491803278693</v>
      </c>
      <c r="G783" s="746">
        <f t="shared" si="4"/>
        <v>0.73770491803278693</v>
      </c>
    </row>
    <row r="784" spans="2:7" ht="21.75" thickBot="1" x14ac:dyDescent="0.3">
      <c r="B784" s="1141" t="s">
        <v>541</v>
      </c>
      <c r="C784" s="1141"/>
      <c r="D784" s="1141"/>
      <c r="E784" s="240" t="s">
        <v>259</v>
      </c>
      <c r="F784" s="746">
        <f>SUM(K675,O675,S675,U675)/(G675-M675)</f>
        <v>0.98412698412698407</v>
      </c>
      <c r="G784" s="746">
        <f t="shared" si="4"/>
        <v>0.96875</v>
      </c>
    </row>
    <row r="785" spans="2:7" ht="15.75" thickBot="1" x14ac:dyDescent="0.3">
      <c r="B785" s="1141" t="s">
        <v>542</v>
      </c>
      <c r="C785" s="1141"/>
      <c r="D785" s="1141"/>
      <c r="E785" s="240" t="s">
        <v>269</v>
      </c>
      <c r="F785" s="746">
        <f t="shared" si="2"/>
        <v>0.91935483870967738</v>
      </c>
      <c r="G785" s="746">
        <f t="shared" si="4"/>
        <v>0.90476190476190477</v>
      </c>
    </row>
    <row r="786" spans="2:7" ht="15.75" thickBot="1" x14ac:dyDescent="0.3">
      <c r="B786" s="1141" t="s">
        <v>543</v>
      </c>
      <c r="C786" s="1141"/>
      <c r="D786" s="1141"/>
      <c r="E786" s="240" t="s">
        <v>269</v>
      </c>
      <c r="F786" s="746">
        <f>SUM(K677,O677,S677,U677)/(G677-M677)</f>
        <v>0.96721311475409832</v>
      </c>
      <c r="G786" s="746">
        <f t="shared" si="4"/>
        <v>0.96721311475409832</v>
      </c>
    </row>
    <row r="787" spans="2:7" ht="26.25" customHeight="1" thickBot="1" x14ac:dyDescent="0.3">
      <c r="B787" s="1141" t="s">
        <v>544</v>
      </c>
      <c r="C787" s="1141"/>
      <c r="D787" s="1141"/>
      <c r="E787" s="240" t="s">
        <v>269</v>
      </c>
      <c r="F787" s="746">
        <f>SUM(K678,O678,S678,U678)/(G678-M678)</f>
        <v>1</v>
      </c>
      <c r="G787" s="746">
        <f t="shared" si="4"/>
        <v>1</v>
      </c>
    </row>
    <row r="788" spans="2:7" ht="22.5" customHeight="1" thickBot="1" x14ac:dyDescent="0.3">
      <c r="B788" s="1142" t="s">
        <v>901</v>
      </c>
      <c r="C788" s="1142"/>
      <c r="D788" s="1142"/>
      <c r="E788" s="240" t="s">
        <v>269</v>
      </c>
      <c r="F788" s="746">
        <f t="shared" ref="F788:F795" si="5">SUM(K680,O680,S680,U680)/(G680-M680)</f>
        <v>1</v>
      </c>
      <c r="G788" s="746">
        <f>SUM(K680,O680,S680,U680)/G680</f>
        <v>1</v>
      </c>
    </row>
    <row r="789" spans="2:7" ht="15.75" thickBot="1" x14ac:dyDescent="0.3">
      <c r="B789" s="1141" t="s">
        <v>545</v>
      </c>
      <c r="C789" s="1141"/>
      <c r="D789" s="1141"/>
      <c r="E789" s="240" t="s">
        <v>269</v>
      </c>
      <c r="F789" s="746">
        <f t="shared" si="5"/>
        <v>1</v>
      </c>
      <c r="G789" s="746">
        <f>SUM(K681,O681,S681,U681)/G681</f>
        <v>0.9838709677419355</v>
      </c>
    </row>
    <row r="790" spans="2:7" ht="22.5" customHeight="1" thickBot="1" x14ac:dyDescent="0.3">
      <c r="B790" s="1141" t="s">
        <v>546</v>
      </c>
      <c r="C790" s="1141"/>
      <c r="D790" s="1141"/>
      <c r="E790" s="240" t="s">
        <v>269</v>
      </c>
      <c r="F790" s="746">
        <f t="shared" si="5"/>
        <v>1</v>
      </c>
      <c r="G790" s="746">
        <f>SUM(K682,O682,S682,U682)/G682</f>
        <v>0.96875</v>
      </c>
    </row>
    <row r="791" spans="2:7" ht="15.75" thickBot="1" x14ac:dyDescent="0.3">
      <c r="B791" s="1141" t="s">
        <v>547</v>
      </c>
      <c r="C791" s="1141"/>
      <c r="D791" s="1141"/>
      <c r="E791" s="240" t="s">
        <v>269</v>
      </c>
      <c r="F791" s="746">
        <f t="shared" si="5"/>
        <v>0.91549295774647887</v>
      </c>
      <c r="G791" s="746">
        <f>SUM(K683,O683,S683,U683)/G683</f>
        <v>0.90277777777777779</v>
      </c>
    </row>
    <row r="792" spans="2:7" ht="15.75" thickBot="1" x14ac:dyDescent="0.3">
      <c r="B792" s="1141" t="s">
        <v>548</v>
      </c>
      <c r="C792" s="1141"/>
      <c r="D792" s="1141"/>
      <c r="E792" s="240" t="s">
        <v>269</v>
      </c>
      <c r="F792" s="746">
        <f t="shared" si="5"/>
        <v>0.98550724637681164</v>
      </c>
      <c r="G792" s="746">
        <f>SUM(K684,O684,S684,U684)/G684</f>
        <v>0.98550724637681164</v>
      </c>
    </row>
    <row r="793" spans="2:7" ht="26.25" customHeight="1" thickBot="1" x14ac:dyDescent="0.3">
      <c r="B793" s="1141" t="s">
        <v>549</v>
      </c>
      <c r="C793" s="1141"/>
      <c r="D793" s="1141"/>
      <c r="E793" s="240" t="s">
        <v>269</v>
      </c>
      <c r="F793" s="746">
        <f t="shared" si="5"/>
        <v>0.9838709677419355</v>
      </c>
      <c r="G793" s="746">
        <f t="shared" ref="G793:G804" si="6">SUM(K685,O685,S685,U685)/G685</f>
        <v>0.9838709677419355</v>
      </c>
    </row>
    <row r="794" spans="2:7" ht="15.75" thickBot="1" x14ac:dyDescent="0.3">
      <c r="B794" s="1141" t="s">
        <v>552</v>
      </c>
      <c r="C794" s="1141"/>
      <c r="D794" s="1141"/>
      <c r="E794" s="240" t="s">
        <v>269</v>
      </c>
      <c r="F794" s="746">
        <f t="shared" si="5"/>
        <v>0.86764705882352944</v>
      </c>
      <c r="G794" s="746">
        <f t="shared" si="6"/>
        <v>0.86764705882352944</v>
      </c>
    </row>
    <row r="795" spans="2:7" ht="15.75" thickBot="1" x14ac:dyDescent="0.3">
      <c r="B795" s="1141" t="s">
        <v>553</v>
      </c>
      <c r="C795" s="1141"/>
      <c r="D795" s="1141"/>
      <c r="E795" s="240" t="s">
        <v>269</v>
      </c>
      <c r="F795" s="746">
        <f t="shared" si="5"/>
        <v>1</v>
      </c>
      <c r="G795" s="746">
        <f t="shared" si="6"/>
        <v>1</v>
      </c>
    </row>
    <row r="796" spans="2:7" ht="24" customHeight="1" thickBot="1" x14ac:dyDescent="0.3">
      <c r="B796" s="1141" t="s">
        <v>554</v>
      </c>
      <c r="C796" s="1141"/>
      <c r="D796" s="1141"/>
      <c r="E796" s="240" t="s">
        <v>269</v>
      </c>
      <c r="F796" s="746">
        <f t="shared" ref="F796:F807" si="7">SUM(K688,O688,S688,U688)/(G688-M688)</f>
        <v>0.91666666666666663</v>
      </c>
      <c r="G796" s="746">
        <f t="shared" si="6"/>
        <v>0.90410958904109584</v>
      </c>
    </row>
    <row r="797" spans="2:7" ht="22.5" customHeight="1" thickBot="1" x14ac:dyDescent="0.3">
      <c r="B797" s="1141" t="s">
        <v>556</v>
      </c>
      <c r="C797" s="1141"/>
      <c r="D797" s="1141"/>
      <c r="E797" s="240" t="s">
        <v>286</v>
      </c>
      <c r="F797" s="746">
        <f t="shared" si="7"/>
        <v>1</v>
      </c>
      <c r="G797" s="746">
        <f t="shared" si="6"/>
        <v>1</v>
      </c>
    </row>
    <row r="798" spans="2:7" ht="15.75" thickBot="1" x14ac:dyDescent="0.3">
      <c r="B798" s="1141" t="s">
        <v>557</v>
      </c>
      <c r="C798" s="1141"/>
      <c r="D798" s="1141"/>
      <c r="E798" s="240" t="s">
        <v>286</v>
      </c>
      <c r="F798" s="746">
        <f t="shared" si="7"/>
        <v>1</v>
      </c>
      <c r="G798" s="746">
        <f t="shared" si="6"/>
        <v>0.95454545454545459</v>
      </c>
    </row>
    <row r="799" spans="2:7" ht="15.75" thickBot="1" x14ac:dyDescent="0.3">
      <c r="B799" s="1141" t="s">
        <v>564</v>
      </c>
      <c r="C799" s="1141"/>
      <c r="D799" s="1141"/>
      <c r="E799" s="240" t="s">
        <v>286</v>
      </c>
      <c r="F799" s="746">
        <f t="shared" si="7"/>
        <v>1</v>
      </c>
      <c r="G799" s="746">
        <f t="shared" si="6"/>
        <v>0.95238095238095233</v>
      </c>
    </row>
    <row r="800" spans="2:7" ht="15.75" thickBot="1" x14ac:dyDescent="0.3">
      <c r="B800" s="1141" t="s">
        <v>565</v>
      </c>
      <c r="C800" s="1141"/>
      <c r="D800" s="1141"/>
      <c r="E800" s="240" t="s">
        <v>269</v>
      </c>
      <c r="F800" s="746">
        <f t="shared" si="7"/>
        <v>1</v>
      </c>
      <c r="G800" s="746">
        <f t="shared" si="6"/>
        <v>0.97959183673469385</v>
      </c>
    </row>
    <row r="801" spans="2:7" ht="15.75" thickBot="1" x14ac:dyDescent="0.3">
      <c r="B801" s="1141" t="s">
        <v>566</v>
      </c>
      <c r="C801" s="1141"/>
      <c r="D801" s="1141"/>
      <c r="E801" s="240" t="s">
        <v>269</v>
      </c>
      <c r="F801" s="746">
        <f t="shared" si="7"/>
        <v>0.95121951219512191</v>
      </c>
      <c r="G801" s="746">
        <f t="shared" si="6"/>
        <v>0.95121951219512191</v>
      </c>
    </row>
    <row r="802" spans="2:7" ht="15.75" thickBot="1" x14ac:dyDescent="0.3">
      <c r="B802" s="1141" t="s">
        <v>567</v>
      </c>
      <c r="C802" s="1141"/>
      <c r="D802" s="1141"/>
      <c r="E802" s="240" t="s">
        <v>269</v>
      </c>
      <c r="F802" s="746">
        <f t="shared" si="7"/>
        <v>1</v>
      </c>
      <c r="G802" s="746">
        <f t="shared" si="6"/>
        <v>1</v>
      </c>
    </row>
    <row r="803" spans="2:7" ht="15.75" thickBot="1" x14ac:dyDescent="0.3">
      <c r="B803" s="1141" t="s">
        <v>568</v>
      </c>
      <c r="C803" s="1141"/>
      <c r="D803" s="1141"/>
      <c r="E803" s="240" t="s">
        <v>269</v>
      </c>
      <c r="F803" s="746">
        <f t="shared" si="7"/>
        <v>1</v>
      </c>
      <c r="G803" s="746">
        <f t="shared" si="6"/>
        <v>0.97916666666666663</v>
      </c>
    </row>
    <row r="804" spans="2:7" ht="15.75" thickBot="1" x14ac:dyDescent="0.3">
      <c r="B804" s="1141" t="s">
        <v>156</v>
      </c>
      <c r="C804" s="1141"/>
      <c r="D804" s="1141"/>
      <c r="E804" s="240" t="s">
        <v>269</v>
      </c>
      <c r="F804" s="746">
        <f t="shared" si="7"/>
        <v>1</v>
      </c>
      <c r="G804" s="746">
        <f t="shared" si="6"/>
        <v>1</v>
      </c>
    </row>
    <row r="805" spans="2:7" ht="15.75" thickBot="1" x14ac:dyDescent="0.3">
      <c r="B805" s="1141" t="s">
        <v>559</v>
      </c>
      <c r="C805" s="1141"/>
      <c r="D805" s="1141"/>
      <c r="E805" s="240" t="s">
        <v>269</v>
      </c>
      <c r="F805" s="746">
        <f t="shared" si="7"/>
        <v>1</v>
      </c>
      <c r="G805" s="746">
        <f t="shared" ref="G805:G816" si="8">SUM(K697,O697,S697,U697)/G697</f>
        <v>1</v>
      </c>
    </row>
    <row r="806" spans="2:7" ht="15.75" thickBot="1" x14ac:dyDescent="0.3">
      <c r="B806" s="1141" t="s">
        <v>560</v>
      </c>
      <c r="C806" s="1141"/>
      <c r="D806" s="1141"/>
      <c r="E806" s="240" t="s">
        <v>269</v>
      </c>
      <c r="F806" s="746">
        <f t="shared" si="7"/>
        <v>1</v>
      </c>
      <c r="G806" s="746">
        <f t="shared" si="8"/>
        <v>1</v>
      </c>
    </row>
    <row r="807" spans="2:7" ht="15.75" thickBot="1" x14ac:dyDescent="0.3">
      <c r="B807" s="1141" t="s">
        <v>561</v>
      </c>
      <c r="C807" s="1141"/>
      <c r="D807" s="1141"/>
      <c r="E807" s="240" t="s">
        <v>269</v>
      </c>
      <c r="F807" s="746">
        <f t="shared" si="7"/>
        <v>1</v>
      </c>
      <c r="G807" s="746">
        <f t="shared" si="8"/>
        <v>1</v>
      </c>
    </row>
    <row r="808" spans="2:7" ht="15.75" thickBot="1" x14ac:dyDescent="0.3">
      <c r="B808" s="1141" t="s">
        <v>562</v>
      </c>
      <c r="C808" s="1141"/>
      <c r="D808" s="1141"/>
      <c r="E808" s="240" t="s">
        <v>269</v>
      </c>
      <c r="F808" s="746">
        <f t="shared" ref="F808:F816" si="9">SUM(K700,O700,S700,U700)/(G700-M700)</f>
        <v>0.97499999999999998</v>
      </c>
      <c r="G808" s="746">
        <f t="shared" si="8"/>
        <v>0.95121951219512191</v>
      </c>
    </row>
    <row r="809" spans="2:7" ht="15.75" thickBot="1" x14ac:dyDescent="0.3">
      <c r="B809" s="1141" t="s">
        <v>563</v>
      </c>
      <c r="C809" s="1141"/>
      <c r="D809" s="1141"/>
      <c r="E809" s="240" t="s">
        <v>269</v>
      </c>
      <c r="F809" s="746">
        <f t="shared" si="9"/>
        <v>0.94230769230769229</v>
      </c>
      <c r="G809" s="746">
        <f t="shared" si="8"/>
        <v>0.875</v>
      </c>
    </row>
    <row r="810" spans="2:7" ht="23.25" customHeight="1" thickBot="1" x14ac:dyDescent="0.3">
      <c r="B810" s="1141" t="s">
        <v>569</v>
      </c>
      <c r="C810" s="1141"/>
      <c r="D810" s="1141"/>
      <c r="E810" s="240" t="s">
        <v>269</v>
      </c>
      <c r="F810" s="746">
        <f t="shared" si="9"/>
        <v>1</v>
      </c>
      <c r="G810" s="746">
        <f t="shared" si="8"/>
        <v>1</v>
      </c>
    </row>
    <row r="811" spans="2:7" ht="15.75" thickBot="1" x14ac:dyDescent="0.3">
      <c r="B811" s="1141" t="s">
        <v>570</v>
      </c>
      <c r="C811" s="1141"/>
      <c r="D811" s="1141"/>
      <c r="E811" s="240" t="s">
        <v>269</v>
      </c>
      <c r="F811" s="746">
        <f t="shared" si="9"/>
        <v>1</v>
      </c>
      <c r="G811" s="746">
        <f t="shared" si="8"/>
        <v>1</v>
      </c>
    </row>
    <row r="812" spans="2:7" ht="15.75" thickBot="1" x14ac:dyDescent="0.3">
      <c r="B812" s="1141" t="s">
        <v>571</v>
      </c>
      <c r="C812" s="1141"/>
      <c r="D812" s="1141"/>
      <c r="E812" s="240" t="s">
        <v>286</v>
      </c>
      <c r="F812" s="746">
        <f t="shared" si="9"/>
        <v>1</v>
      </c>
      <c r="G812" s="746">
        <f t="shared" si="8"/>
        <v>1</v>
      </c>
    </row>
    <row r="813" spans="2:7" ht="24" customHeight="1" thickBot="1" x14ac:dyDescent="0.3">
      <c r="B813" s="1141" t="s">
        <v>572</v>
      </c>
      <c r="C813" s="1141"/>
      <c r="D813" s="1141"/>
      <c r="E813" s="240" t="s">
        <v>286</v>
      </c>
      <c r="F813" s="746">
        <f t="shared" si="9"/>
        <v>1</v>
      </c>
      <c r="G813" s="746">
        <f t="shared" si="8"/>
        <v>1</v>
      </c>
    </row>
    <row r="814" spans="2:7" ht="15.75" thickBot="1" x14ac:dyDescent="0.3">
      <c r="B814" s="1145" t="s">
        <v>927</v>
      </c>
      <c r="C814" s="1145"/>
      <c r="D814" s="1145"/>
      <c r="E814" s="276" t="s">
        <v>286</v>
      </c>
      <c r="F814" s="746">
        <f t="shared" si="9"/>
        <v>1</v>
      </c>
      <c r="G814" s="746">
        <f t="shared" si="8"/>
        <v>1</v>
      </c>
    </row>
    <row r="815" spans="2:7" ht="15.75" thickBot="1" x14ac:dyDescent="0.3">
      <c r="B815" s="1145" t="s">
        <v>899</v>
      </c>
      <c r="C815" s="1145"/>
      <c r="D815" s="1145"/>
      <c r="E815" s="276" t="s">
        <v>286</v>
      </c>
      <c r="F815" s="746">
        <f t="shared" si="9"/>
        <v>1</v>
      </c>
      <c r="G815" s="746">
        <f t="shared" si="8"/>
        <v>1</v>
      </c>
    </row>
    <row r="816" spans="2:7" ht="15.75" thickBot="1" x14ac:dyDescent="0.3">
      <c r="B816" s="1299" t="s">
        <v>900</v>
      </c>
      <c r="C816" s="1299"/>
      <c r="D816" s="1299"/>
      <c r="E816" s="274" t="s">
        <v>286</v>
      </c>
      <c r="F816" s="747">
        <f t="shared" si="9"/>
        <v>1</v>
      </c>
      <c r="G816" s="747">
        <f t="shared" si="8"/>
        <v>0.96666666666666667</v>
      </c>
    </row>
    <row r="817" spans="2:17" x14ac:dyDescent="0.25">
      <c r="B817" s="1047" t="s">
        <v>1123</v>
      </c>
      <c r="C817" s="1047"/>
    </row>
    <row r="818" spans="2:17" x14ac:dyDescent="0.25">
      <c r="B818" s="40" t="s">
        <v>67</v>
      </c>
      <c r="C818" s="40"/>
      <c r="D818" s="40"/>
    </row>
    <row r="819" spans="2:17" x14ac:dyDescent="0.25">
      <c r="B819" s="44" t="s">
        <v>480</v>
      </c>
      <c r="C819" s="44"/>
      <c r="D819" s="44"/>
      <c r="E819" s="44"/>
    </row>
    <row r="820" spans="2:17" x14ac:dyDescent="0.25">
      <c r="B820" s="44" t="s">
        <v>481</v>
      </c>
    </row>
    <row r="821" spans="2:17" x14ac:dyDescent="0.25">
      <c r="B821" s="44"/>
    </row>
    <row r="822" spans="2:17" x14ac:dyDescent="0.25">
      <c r="B822" s="44"/>
    </row>
    <row r="823" spans="2:17" x14ac:dyDescent="0.25">
      <c r="B823" s="277" t="s">
        <v>821</v>
      </c>
    </row>
    <row r="824" spans="2:17" x14ac:dyDescent="0.25">
      <c r="B824" s="778" t="s">
        <v>2</v>
      </c>
      <c r="C824" s="778"/>
      <c r="D824" s="201" t="s">
        <v>31</v>
      </c>
      <c r="E824" s="201"/>
      <c r="F824" s="201" t="s">
        <v>4</v>
      </c>
      <c r="G824" s="201" t="s">
        <v>5</v>
      </c>
      <c r="H824" s="201" t="s">
        <v>6</v>
      </c>
      <c r="I824" s="201" t="s">
        <v>888</v>
      </c>
      <c r="J824" s="201" t="s">
        <v>953</v>
      </c>
      <c r="K824" s="201" t="s">
        <v>1125</v>
      </c>
      <c r="L824" s="201" t="s">
        <v>1229</v>
      </c>
      <c r="Q824" s="598"/>
    </row>
    <row r="825" spans="2:17" ht="15" customHeight="1" thickBot="1" x14ac:dyDescent="0.3">
      <c r="B825" s="1300" t="s">
        <v>7</v>
      </c>
      <c r="C825" s="1301"/>
      <c r="D825" s="1283" t="s">
        <v>25</v>
      </c>
      <c r="E825" s="1283"/>
      <c r="F825" s="240">
        <v>13</v>
      </c>
      <c r="G825" s="245">
        <v>14</v>
      </c>
      <c r="H825" s="240">
        <v>16</v>
      </c>
      <c r="I825" s="240">
        <v>16</v>
      </c>
      <c r="J825" s="250">
        <v>17</v>
      </c>
      <c r="K825" s="240">
        <v>18</v>
      </c>
      <c r="L825" s="600">
        <v>17</v>
      </c>
      <c r="O825" s="400"/>
      <c r="Q825" s="598"/>
    </row>
    <row r="826" spans="2:17" ht="27" customHeight="1" thickBot="1" x14ac:dyDescent="0.3">
      <c r="B826" s="1300"/>
      <c r="C826" s="1301"/>
      <c r="D826" s="1283" t="s">
        <v>482</v>
      </c>
      <c r="E826" s="1283"/>
      <c r="F826" s="748">
        <v>0.80389429763560505</v>
      </c>
      <c r="G826" s="748">
        <v>0.78078484438430307</v>
      </c>
      <c r="H826" s="748">
        <v>0.86051502145922742</v>
      </c>
      <c r="I826" s="748">
        <v>0.81188118811881194</v>
      </c>
      <c r="J826" s="748">
        <v>0.78809869375907116</v>
      </c>
      <c r="K826" s="748">
        <v>0.80659999999999998</v>
      </c>
      <c r="L826" s="749">
        <v>0.78215038650737878</v>
      </c>
      <c r="O826" s="16"/>
      <c r="Q826" s="598"/>
    </row>
    <row r="827" spans="2:17" ht="26.25" customHeight="1" thickBot="1" x14ac:dyDescent="0.3">
      <c r="B827" s="1300"/>
      <c r="C827" s="1301"/>
      <c r="D827" s="1283" t="s">
        <v>483</v>
      </c>
      <c r="E827" s="1283"/>
      <c r="F827" s="748">
        <v>0.75124378109452739</v>
      </c>
      <c r="G827" s="748">
        <v>0.73114754098360657</v>
      </c>
      <c r="H827" s="748">
        <v>0.82151589242053791</v>
      </c>
      <c r="I827" s="748">
        <v>0.8084714548802947</v>
      </c>
      <c r="J827" s="748">
        <v>0.81098546042003228</v>
      </c>
      <c r="K827" s="748">
        <v>0.76519999999999999</v>
      </c>
      <c r="L827" s="749">
        <v>0.72527472527472525</v>
      </c>
      <c r="O827" s="16"/>
      <c r="Q827" s="598"/>
    </row>
    <row r="828" spans="2:17" ht="19.5" customHeight="1" thickBot="1" x14ac:dyDescent="0.3">
      <c r="B828" s="1300"/>
      <c r="C828" s="1301"/>
      <c r="D828" s="1283" t="s">
        <v>484</v>
      </c>
      <c r="E828" s="1283"/>
      <c r="F828" s="748">
        <v>0.15596330275229359</v>
      </c>
      <c r="G828" s="748">
        <v>0.28947368421052633</v>
      </c>
      <c r="H828" s="748">
        <v>0.2581</v>
      </c>
      <c r="I828" s="748">
        <v>0.21210000000000001</v>
      </c>
      <c r="J828" s="748">
        <v>0.23150000000000001</v>
      </c>
      <c r="K828" s="748">
        <v>0.3382</v>
      </c>
      <c r="L828" s="749">
        <v>0.30819999999999997</v>
      </c>
      <c r="O828" s="16"/>
      <c r="Q828" s="598"/>
    </row>
    <row r="829" spans="2:17" ht="25.5" customHeight="1" thickBot="1" x14ac:dyDescent="0.3">
      <c r="B829" s="1300"/>
      <c r="C829" s="1301"/>
      <c r="D829" s="1283" t="s">
        <v>485</v>
      </c>
      <c r="E829" s="1283"/>
      <c r="F829" s="748">
        <v>0.44736842105263158</v>
      </c>
      <c r="G829" s="748">
        <v>0.48148148148148145</v>
      </c>
      <c r="H829" s="748">
        <v>0.21049999999999999</v>
      </c>
      <c r="I829" s="748">
        <v>0.34289999999999998</v>
      </c>
      <c r="J829" s="748">
        <v>0.4</v>
      </c>
      <c r="K829" s="748">
        <v>0.58179999999999998</v>
      </c>
      <c r="L829" s="749">
        <v>0.49020000000000002</v>
      </c>
      <c r="O829" s="16"/>
      <c r="Q829" s="598"/>
    </row>
    <row r="830" spans="2:17" ht="18" customHeight="1" thickBot="1" x14ac:dyDescent="0.3">
      <c r="B830" s="1300"/>
      <c r="C830" s="1301"/>
      <c r="D830" s="1283" t="s">
        <v>486</v>
      </c>
      <c r="E830" s="1283"/>
      <c r="F830" s="748">
        <v>0.86786786786786785</v>
      </c>
      <c r="G830" s="748">
        <v>0.83021582733812949</v>
      </c>
      <c r="H830" s="748">
        <v>0.90723981900452488</v>
      </c>
      <c r="I830" s="748">
        <v>0.85789014821272891</v>
      </c>
      <c r="J830" s="748">
        <v>0.82335102350265355</v>
      </c>
      <c r="K830" s="748">
        <v>0.84399999999999997</v>
      </c>
      <c r="L830" s="749">
        <v>0.8293591654247392</v>
      </c>
      <c r="O830" s="16"/>
      <c r="Q830" s="277"/>
    </row>
    <row r="831" spans="2:17" ht="18.75" customHeight="1" thickBot="1" x14ac:dyDescent="0.3">
      <c r="B831" s="1300"/>
      <c r="C831" s="1301"/>
      <c r="D831" s="1283" t="s">
        <v>487</v>
      </c>
      <c r="E831" s="1283"/>
      <c r="F831" s="748">
        <v>0.34615384615384615</v>
      </c>
      <c r="G831" s="748">
        <v>0.28947368421052633</v>
      </c>
      <c r="H831" s="748">
        <v>0.32258064516129031</v>
      </c>
      <c r="I831" s="748">
        <v>0.52629999999999999</v>
      </c>
      <c r="J831" s="748">
        <v>0.4</v>
      </c>
      <c r="K831" s="748">
        <v>0.32500000000000001</v>
      </c>
      <c r="L831" s="749">
        <v>0.18179999999999999</v>
      </c>
      <c r="O831" s="16"/>
      <c r="Q831" s="598"/>
    </row>
    <row r="832" spans="2:17" ht="27.75" customHeight="1" thickBot="1" x14ac:dyDescent="0.3">
      <c r="B832" s="1300"/>
      <c r="C832" s="1301"/>
      <c r="D832" s="1283" t="s">
        <v>488</v>
      </c>
      <c r="E832" s="1283"/>
      <c r="F832" s="748">
        <v>0.59259259259259256</v>
      </c>
      <c r="G832" s="748">
        <v>0.42307692307692307</v>
      </c>
      <c r="H832" s="748">
        <v>0.34210526315789475</v>
      </c>
      <c r="I832" s="748">
        <v>0.40739999999999998</v>
      </c>
      <c r="J832" s="748">
        <v>0.63160000000000005</v>
      </c>
      <c r="K832" s="748">
        <v>0.54290000000000005</v>
      </c>
      <c r="L832" s="749">
        <v>0.45</v>
      </c>
      <c r="O832" s="16"/>
    </row>
    <row r="833" spans="2:33" ht="18.75" customHeight="1" thickBot="1" x14ac:dyDescent="0.3">
      <c r="B833" s="1300"/>
      <c r="C833" s="1301"/>
      <c r="D833" s="1283" t="s">
        <v>489</v>
      </c>
      <c r="E833" s="1283"/>
      <c r="F833" s="748">
        <v>0.93969999999999998</v>
      </c>
      <c r="G833" s="748">
        <v>0.9657</v>
      </c>
      <c r="H833" s="748">
        <v>0.94830000000000003</v>
      </c>
      <c r="I833" s="748">
        <v>0.94955489614243327</v>
      </c>
      <c r="J833" s="748">
        <v>0.93490709360757285</v>
      </c>
      <c r="K833" s="748">
        <v>0.93989999999999996</v>
      </c>
      <c r="L833" s="749">
        <v>0.90310000000000001</v>
      </c>
      <c r="O833" s="16"/>
      <c r="Z833" s="593"/>
      <c r="AA833" s="594"/>
      <c r="AB833" s="594"/>
      <c r="AC833" s="594"/>
      <c r="AD833" s="594"/>
      <c r="AE833" s="594"/>
      <c r="AF833" s="594"/>
      <c r="AG833" s="593"/>
    </row>
    <row r="834" spans="2:33" ht="30" customHeight="1" thickBot="1" x14ac:dyDescent="0.3">
      <c r="B834" s="1300"/>
      <c r="C834" s="1301"/>
      <c r="D834" s="1284" t="s">
        <v>490</v>
      </c>
      <c r="E834" s="1284"/>
      <c r="F834" s="599" t="s">
        <v>492</v>
      </c>
      <c r="G834" s="750" t="s">
        <v>493</v>
      </c>
      <c r="H834" s="599" t="s">
        <v>494</v>
      </c>
      <c r="I834" s="599" t="s">
        <v>1119</v>
      </c>
      <c r="J834" s="751" t="s">
        <v>1121</v>
      </c>
      <c r="K834" s="599" t="s">
        <v>1224</v>
      </c>
      <c r="L834" s="752" t="s">
        <v>1919</v>
      </c>
      <c r="Z834" s="595"/>
      <c r="AA834" s="596"/>
      <c r="AB834" s="596"/>
      <c r="AC834" s="596"/>
      <c r="AD834" s="597"/>
      <c r="AE834" s="596"/>
      <c r="AF834" s="596"/>
      <c r="AG834" s="597"/>
    </row>
    <row r="835" spans="2:33" x14ac:dyDescent="0.25">
      <c r="B835" s="65"/>
      <c r="C835" s="65"/>
      <c r="D835" s="62"/>
      <c r="E835" s="62"/>
      <c r="F835" s="62"/>
      <c r="G835" s="63"/>
      <c r="H835" s="63"/>
      <c r="I835" s="63"/>
      <c r="J835" s="63"/>
      <c r="K835" s="63"/>
      <c r="Q835" s="66"/>
      <c r="R835" s="66"/>
      <c r="Z835" s="595"/>
      <c r="AA835" s="596"/>
      <c r="AB835" s="596"/>
      <c r="AC835" s="596"/>
      <c r="AD835" s="597"/>
      <c r="AE835" s="597"/>
      <c r="AF835" s="596"/>
      <c r="AG835" s="597"/>
    </row>
    <row r="836" spans="2:33" x14ac:dyDescent="0.25">
      <c r="B836" s="778" t="s">
        <v>2</v>
      </c>
      <c r="C836" s="778"/>
      <c r="D836" s="201" t="s">
        <v>31</v>
      </c>
      <c r="E836" s="201"/>
      <c r="F836" s="201" t="s">
        <v>4</v>
      </c>
      <c r="G836" s="201" t="s">
        <v>5</v>
      </c>
      <c r="H836" s="201" t="s">
        <v>6</v>
      </c>
      <c r="I836" s="201" t="s">
        <v>888</v>
      </c>
      <c r="J836" s="201" t="s">
        <v>953</v>
      </c>
      <c r="K836" s="201" t="s">
        <v>1125</v>
      </c>
      <c r="L836" s="201" t="s">
        <v>1229</v>
      </c>
      <c r="O836" s="400"/>
      <c r="Z836" s="595"/>
      <c r="AA836" s="597"/>
      <c r="AB836" s="597"/>
      <c r="AC836" s="597"/>
      <c r="AD836" s="597"/>
      <c r="AE836" s="597"/>
      <c r="AF836" s="597"/>
      <c r="AG836" s="597"/>
    </row>
    <row r="837" spans="2:33" ht="18.75" customHeight="1" thickBot="1" x14ac:dyDescent="0.3">
      <c r="B837" s="1300" t="s">
        <v>8</v>
      </c>
      <c r="C837" s="1301"/>
      <c r="D837" s="1283" t="s">
        <v>25</v>
      </c>
      <c r="E837" s="1283"/>
      <c r="F837" s="753">
        <v>31</v>
      </c>
      <c r="G837" s="753">
        <v>31</v>
      </c>
      <c r="H837" s="753">
        <v>33</v>
      </c>
      <c r="I837" s="753">
        <v>60</v>
      </c>
      <c r="J837" s="754">
        <v>48</v>
      </c>
      <c r="K837" s="753">
        <v>35</v>
      </c>
      <c r="L837" s="755">
        <v>43</v>
      </c>
      <c r="O837" s="537"/>
      <c r="Z837" s="595"/>
      <c r="AA837" s="597"/>
      <c r="AB837" s="597"/>
      <c r="AC837" s="597"/>
      <c r="AD837" s="597"/>
      <c r="AE837" s="597"/>
      <c r="AF837" s="597"/>
      <c r="AG837" s="597"/>
    </row>
    <row r="838" spans="2:33" ht="27.75" customHeight="1" thickBot="1" x14ac:dyDescent="0.3">
      <c r="B838" s="1300"/>
      <c r="C838" s="1301"/>
      <c r="D838" s="1283" t="s">
        <v>482</v>
      </c>
      <c r="E838" s="1283"/>
      <c r="F838" s="748">
        <v>0.82523885350318471</v>
      </c>
      <c r="G838" s="748">
        <v>0.8355042798660216</v>
      </c>
      <c r="H838" s="748">
        <v>0.84468976018271791</v>
      </c>
      <c r="I838" s="748">
        <v>0.85185185185185186</v>
      </c>
      <c r="J838" s="748">
        <v>0.85911994322214336</v>
      </c>
      <c r="K838" s="748">
        <v>0.92110000000000003</v>
      </c>
      <c r="L838" s="749">
        <v>0.77777777777777779</v>
      </c>
      <c r="O838" s="16"/>
      <c r="Z838" s="429"/>
      <c r="AB838" s="48"/>
      <c r="AD838" s="429"/>
      <c r="AF838" s="48"/>
    </row>
    <row r="839" spans="2:33" ht="29.25" customHeight="1" thickBot="1" x14ac:dyDescent="0.3">
      <c r="B839" s="1300"/>
      <c r="C839" s="1301"/>
      <c r="D839" s="1283" t="s">
        <v>483</v>
      </c>
      <c r="E839" s="1283"/>
      <c r="F839" s="748">
        <v>0.7407407407407407</v>
      </c>
      <c r="G839" s="748">
        <v>0.72556894243641235</v>
      </c>
      <c r="H839" s="748">
        <v>0.69076305220883538</v>
      </c>
      <c r="I839" s="748">
        <v>0.67571059431524549</v>
      </c>
      <c r="J839" s="748">
        <v>0.76470588235294112</v>
      </c>
      <c r="K839" s="748">
        <v>0.52229999999999999</v>
      </c>
      <c r="L839" s="749">
        <v>0.62</v>
      </c>
      <c r="O839" s="16"/>
    </row>
    <row r="840" spans="2:33" ht="21" customHeight="1" thickBot="1" x14ac:dyDescent="0.3">
      <c r="B840" s="1300"/>
      <c r="C840" s="1301"/>
      <c r="D840" s="1283" t="s">
        <v>484</v>
      </c>
      <c r="E840" s="1283"/>
      <c r="F840" s="748">
        <v>7.7399999999999997E-2</v>
      </c>
      <c r="G840" s="748">
        <v>7.2164948453608241E-2</v>
      </c>
      <c r="H840" s="748">
        <v>0.15246636771300448</v>
      </c>
      <c r="I840" s="748">
        <v>0.1583</v>
      </c>
      <c r="J840" s="748">
        <v>7.9200000000000007E-2</v>
      </c>
      <c r="K840" s="748">
        <v>6.25E-2</v>
      </c>
      <c r="L840" s="749">
        <v>8.4699999999999998E-2</v>
      </c>
      <c r="O840" s="16"/>
    </row>
    <row r="841" spans="2:33" ht="26.25" customHeight="1" thickBot="1" x14ac:dyDescent="0.3">
      <c r="B841" s="1300"/>
      <c r="C841" s="1301"/>
      <c r="D841" s="1283" t="s">
        <v>485</v>
      </c>
      <c r="E841" s="1283"/>
      <c r="F841" s="748">
        <v>0.1636</v>
      </c>
      <c r="G841" s="748">
        <v>0.14516129032258066</v>
      </c>
      <c r="H841" s="748">
        <v>0.25</v>
      </c>
      <c r="I841" s="748">
        <v>0.20630000000000001</v>
      </c>
      <c r="J841" s="748">
        <v>0.1356</v>
      </c>
      <c r="K841" s="748">
        <v>8.3299999999999999E-2</v>
      </c>
      <c r="L841" s="749">
        <v>0.1719</v>
      </c>
      <c r="O841" s="16"/>
    </row>
    <row r="842" spans="2:33" ht="21" customHeight="1" thickBot="1" x14ac:dyDescent="0.3">
      <c r="B842" s="1300"/>
      <c r="C842" s="1301"/>
      <c r="D842" s="1283" t="s">
        <v>486</v>
      </c>
      <c r="E842" s="1283"/>
      <c r="F842" s="748">
        <v>0.85838509316770184</v>
      </c>
      <c r="G842" s="748">
        <v>0.88039215686274508</v>
      </c>
      <c r="H842" s="748">
        <v>0.88547486033519551</v>
      </c>
      <c r="I842" s="748">
        <v>0.88893058161350846</v>
      </c>
      <c r="J842" s="748">
        <v>0.82516703786191536</v>
      </c>
      <c r="K842" s="748">
        <v>0.94589999999999996</v>
      </c>
      <c r="L842" s="749">
        <v>0.83582089552238803</v>
      </c>
      <c r="O842" s="16"/>
    </row>
    <row r="843" spans="2:33" ht="21.75" customHeight="1" thickBot="1" x14ac:dyDescent="0.3">
      <c r="B843" s="1300"/>
      <c r="C843" s="1301"/>
      <c r="D843" s="1283" t="s">
        <v>575</v>
      </c>
      <c r="E843" s="1283"/>
      <c r="F843" s="748">
        <v>0.32</v>
      </c>
      <c r="G843" s="748">
        <v>0.32727272727272727</v>
      </c>
      <c r="H843" s="748">
        <v>0.32258064516129031</v>
      </c>
      <c r="I843" s="748">
        <v>0.53569999999999995</v>
      </c>
      <c r="J843" s="748">
        <v>0.47620000000000001</v>
      </c>
      <c r="K843" s="748">
        <v>0.30509999999999998</v>
      </c>
      <c r="L843" s="749">
        <v>0.45829999999999999</v>
      </c>
      <c r="O843" s="16"/>
      <c r="AE843" s="8"/>
    </row>
    <row r="844" spans="2:33" ht="25.5" customHeight="1" thickBot="1" x14ac:dyDescent="0.3">
      <c r="B844" s="1300"/>
      <c r="C844" s="1301"/>
      <c r="D844" s="1283" t="s">
        <v>576</v>
      </c>
      <c r="E844" s="1283"/>
      <c r="F844" s="748">
        <v>0.64439999999999997</v>
      </c>
      <c r="G844" s="748">
        <v>0.57999999999999996</v>
      </c>
      <c r="H844" s="748">
        <v>0.47272727272727272</v>
      </c>
      <c r="I844" s="748">
        <v>0.629</v>
      </c>
      <c r="J844" s="748">
        <v>0.69640000000000002</v>
      </c>
      <c r="K844" s="748">
        <v>0.65080000000000005</v>
      </c>
      <c r="L844" s="749">
        <v>0.61019999999999996</v>
      </c>
      <c r="O844" s="16"/>
      <c r="AE844" s="8"/>
    </row>
    <row r="845" spans="2:33" ht="20.25" customHeight="1" thickBot="1" x14ac:dyDescent="0.3">
      <c r="B845" s="1300"/>
      <c r="C845" s="1301"/>
      <c r="D845" s="1283" t="s">
        <v>489</v>
      </c>
      <c r="E845" s="1283"/>
      <c r="F845" s="748">
        <v>0.94667087409277373</v>
      </c>
      <c r="G845" s="748">
        <v>0.9587</v>
      </c>
      <c r="H845" s="748">
        <v>0.93530000000000002</v>
      </c>
      <c r="I845" s="748">
        <v>0.88073394495412849</v>
      </c>
      <c r="J845" s="748">
        <v>0.95846645367412142</v>
      </c>
      <c r="K845" s="748">
        <v>0.87429999999999997</v>
      </c>
      <c r="L845" s="749">
        <v>0.89610000000000001</v>
      </c>
      <c r="O845" s="16"/>
    </row>
    <row r="846" spans="2:33" ht="24" customHeight="1" thickBot="1" x14ac:dyDescent="0.3">
      <c r="B846" s="1300"/>
      <c r="C846" s="1301"/>
      <c r="D846" s="1284" t="s">
        <v>490</v>
      </c>
      <c r="E846" s="1284"/>
      <c r="F846" s="599" t="s">
        <v>577</v>
      </c>
      <c r="G846" s="750" t="s">
        <v>578</v>
      </c>
      <c r="H846" s="599" t="s">
        <v>579</v>
      </c>
      <c r="I846" s="599" t="s">
        <v>949</v>
      </c>
      <c r="J846" s="751" t="s">
        <v>1122</v>
      </c>
      <c r="K846" s="599" t="s">
        <v>1225</v>
      </c>
      <c r="L846" s="752" t="s">
        <v>1920</v>
      </c>
    </row>
    <row r="847" spans="2:33" x14ac:dyDescent="0.25">
      <c r="B847" s="37"/>
    </row>
    <row r="848" spans="2:33" x14ac:dyDescent="0.25">
      <c r="B848" s="778" t="s">
        <v>2</v>
      </c>
      <c r="C848" s="778"/>
      <c r="D848" s="201" t="s">
        <v>31</v>
      </c>
      <c r="E848" s="201"/>
      <c r="F848" s="201" t="s">
        <v>888</v>
      </c>
      <c r="G848" s="201" t="s">
        <v>953</v>
      </c>
      <c r="H848" s="201" t="s">
        <v>1125</v>
      </c>
      <c r="I848" s="201" t="s">
        <v>1229</v>
      </c>
    </row>
    <row r="849" spans="1:18" ht="18.75" customHeight="1" thickBot="1" x14ac:dyDescent="0.3">
      <c r="B849" s="1295" t="s">
        <v>904</v>
      </c>
      <c r="C849" s="1296"/>
      <c r="D849" s="1283" t="s">
        <v>25</v>
      </c>
      <c r="E849" s="1283"/>
      <c r="F849" s="756">
        <v>1</v>
      </c>
      <c r="G849" s="757">
        <v>0</v>
      </c>
      <c r="H849" s="757">
        <v>1</v>
      </c>
      <c r="I849" s="757">
        <v>0</v>
      </c>
    </row>
    <row r="850" spans="1:18" ht="21" customHeight="1" thickBot="1" x14ac:dyDescent="0.3">
      <c r="B850" s="1297"/>
      <c r="C850" s="1298"/>
      <c r="D850" s="1283" t="s">
        <v>484</v>
      </c>
      <c r="E850" s="1283"/>
      <c r="F850" s="758">
        <v>0</v>
      </c>
      <c r="G850" s="538">
        <v>0.2</v>
      </c>
      <c r="H850" s="538">
        <v>0.375</v>
      </c>
      <c r="I850" s="538">
        <v>0.5625</v>
      </c>
      <c r="J850" s="16"/>
    </row>
    <row r="851" spans="1:18" ht="26.25" customHeight="1" thickBot="1" x14ac:dyDescent="0.3">
      <c r="B851" s="1297"/>
      <c r="C851" s="1298"/>
      <c r="D851" s="1283" t="s">
        <v>485</v>
      </c>
      <c r="E851" s="1283"/>
      <c r="F851" s="758">
        <v>0</v>
      </c>
      <c r="G851" s="538">
        <v>0.33329999999999999</v>
      </c>
      <c r="H851" s="538">
        <v>0.75</v>
      </c>
      <c r="I851" s="759">
        <v>0.75</v>
      </c>
      <c r="J851" s="16"/>
    </row>
    <row r="852" spans="1:18" ht="21.75" customHeight="1" thickBot="1" x14ac:dyDescent="0.3">
      <c r="B852" s="1297"/>
      <c r="C852" s="1298"/>
      <c r="D852" s="1283" t="s">
        <v>575</v>
      </c>
      <c r="E852" s="1283"/>
      <c r="F852" s="758">
        <v>1</v>
      </c>
      <c r="G852" s="538" t="s">
        <v>51</v>
      </c>
      <c r="H852" s="538">
        <v>1</v>
      </c>
      <c r="I852" s="538">
        <v>0</v>
      </c>
      <c r="J852" s="16"/>
    </row>
    <row r="853" spans="1:18" ht="25.5" customHeight="1" thickBot="1" x14ac:dyDescent="0.3">
      <c r="B853" s="1297"/>
      <c r="C853" s="1298"/>
      <c r="D853" s="1283" t="s">
        <v>576</v>
      </c>
      <c r="E853" s="1283"/>
      <c r="F853" s="758" t="s">
        <v>51</v>
      </c>
      <c r="G853" s="758" t="s">
        <v>51</v>
      </c>
      <c r="H853" s="538">
        <v>0</v>
      </c>
      <c r="I853" s="758">
        <v>0</v>
      </c>
      <c r="J853" s="16"/>
    </row>
    <row r="854" spans="1:18" ht="25.5" customHeight="1" thickBot="1" x14ac:dyDescent="0.3">
      <c r="A854" s="48"/>
      <c r="B854" s="1297"/>
      <c r="C854" s="1298"/>
      <c r="D854" s="1321" t="s">
        <v>1120</v>
      </c>
      <c r="E854" s="1321"/>
      <c r="F854" s="760">
        <v>1.3913043478260869</v>
      </c>
      <c r="G854" s="761" t="s">
        <v>51</v>
      </c>
      <c r="H854" s="761">
        <v>0.98440000000000005</v>
      </c>
      <c r="I854" s="761" t="s">
        <v>51</v>
      </c>
      <c r="J854" s="16"/>
    </row>
    <row r="855" spans="1:18" ht="24" customHeight="1" thickBot="1" x14ac:dyDescent="0.3">
      <c r="B855" s="1297"/>
      <c r="C855" s="1298"/>
      <c r="D855" s="1284" t="s">
        <v>490</v>
      </c>
      <c r="E855" s="1284"/>
      <c r="F855" s="762" t="s">
        <v>491</v>
      </c>
      <c r="G855" s="539" t="s">
        <v>51</v>
      </c>
      <c r="H855" s="539" t="s">
        <v>1226</v>
      </c>
      <c r="I855" s="539" t="s">
        <v>51</v>
      </c>
    </row>
    <row r="857" spans="1:18" x14ac:dyDescent="0.25">
      <c r="B857" s="1027" t="s">
        <v>1123</v>
      </c>
      <c r="C857" s="1027"/>
      <c r="L857" s="54"/>
    </row>
    <row r="858" spans="1:18" x14ac:dyDescent="0.25">
      <c r="B858" s="40" t="s">
        <v>67</v>
      </c>
      <c r="C858" s="40"/>
      <c r="D858" s="40"/>
      <c r="E858" s="40"/>
      <c r="L858" s="54"/>
      <c r="M858" s="55"/>
      <c r="N858" s="56"/>
      <c r="O858" s="56"/>
      <c r="P858" s="56"/>
    </row>
    <row r="859" spans="1:18" x14ac:dyDescent="0.25">
      <c r="B859" s="40" t="s">
        <v>495</v>
      </c>
      <c r="D859" s="40"/>
      <c r="E859" s="40"/>
      <c r="L859" s="54"/>
      <c r="M859" s="55"/>
      <c r="N859" s="56"/>
      <c r="O859" s="56"/>
      <c r="P859" s="56"/>
    </row>
    <row r="860" spans="1:18" x14ac:dyDescent="0.25">
      <c r="B860" s="40" t="s">
        <v>496</v>
      </c>
      <c r="L860" s="54"/>
      <c r="M860" s="55"/>
      <c r="N860" s="56"/>
      <c r="O860" s="56"/>
      <c r="P860" s="56"/>
    </row>
    <row r="861" spans="1:18" x14ac:dyDescent="0.25">
      <c r="B861" s="40" t="s">
        <v>497</v>
      </c>
      <c r="L861" s="54"/>
      <c r="M861" s="55"/>
      <c r="N861" s="56"/>
      <c r="O861" s="56"/>
      <c r="P861" s="56"/>
    </row>
    <row r="862" spans="1:18" x14ac:dyDescent="0.25">
      <c r="B862" s="40" t="s">
        <v>498</v>
      </c>
      <c r="L862" s="54"/>
      <c r="O862" s="56"/>
      <c r="P862" s="56"/>
    </row>
    <row r="863" spans="1:18" x14ac:dyDescent="0.25">
      <c r="B863" s="40" t="s">
        <v>499</v>
      </c>
      <c r="K863" s="54"/>
      <c r="L863" s="55"/>
      <c r="M863" s="56"/>
      <c r="N863" s="56"/>
      <c r="O863" s="56"/>
      <c r="R863" s="13"/>
    </row>
    <row r="864" spans="1:18" x14ac:dyDescent="0.25">
      <c r="B864" s="40" t="s">
        <v>500</v>
      </c>
      <c r="K864" s="54"/>
      <c r="L864" s="55"/>
      <c r="M864" s="56"/>
      <c r="N864" s="56"/>
      <c r="O864" s="56"/>
      <c r="R864" s="13"/>
    </row>
    <row r="865" spans="1:18" x14ac:dyDescent="0.25">
      <c r="B865" s="40" t="s">
        <v>501</v>
      </c>
      <c r="K865" s="54"/>
      <c r="L865" s="55"/>
      <c r="M865" s="56"/>
      <c r="N865" s="56"/>
      <c r="O865" s="56"/>
      <c r="R865" s="13"/>
    </row>
    <row r="866" spans="1:18" x14ac:dyDescent="0.25">
      <c r="B866" s="40" t="s">
        <v>502</v>
      </c>
      <c r="K866" s="54"/>
      <c r="L866" s="55"/>
      <c r="M866" s="56"/>
      <c r="N866" s="56"/>
      <c r="O866" s="56"/>
      <c r="R866" s="13"/>
    </row>
    <row r="867" spans="1:18" x14ac:dyDescent="0.25">
      <c r="B867" s="40" t="s">
        <v>503</v>
      </c>
      <c r="K867" s="54"/>
      <c r="L867" s="55"/>
      <c r="M867" s="56"/>
      <c r="N867" s="56"/>
      <c r="O867" s="56"/>
      <c r="R867" s="13"/>
    </row>
    <row r="868" spans="1:18" x14ac:dyDescent="0.25">
      <c r="B868" s="40" t="s">
        <v>504</v>
      </c>
      <c r="K868" s="54"/>
      <c r="L868" s="55"/>
      <c r="M868" s="56"/>
      <c r="N868" s="56"/>
      <c r="O868" s="56"/>
      <c r="Q868" s="57"/>
      <c r="R868" s="57"/>
    </row>
    <row r="869" spans="1:18" x14ac:dyDescent="0.25">
      <c r="B869" s="37"/>
    </row>
    <row r="871" spans="1:18" x14ac:dyDescent="0.25">
      <c r="A871" s="43"/>
      <c r="B871" s="277" t="s">
        <v>822</v>
      </c>
      <c r="C871" s="277"/>
      <c r="D871" s="277"/>
      <c r="E871" s="277"/>
      <c r="F871" s="48"/>
    </row>
    <row r="872" spans="1:18" x14ac:dyDescent="0.25">
      <c r="E872" t="s">
        <v>903</v>
      </c>
      <c r="H872" s="33"/>
      <c r="I872" s="33"/>
      <c r="K872" s="33"/>
    </row>
    <row r="873" spans="1:18" x14ac:dyDescent="0.25">
      <c r="B873" s="1309" t="s">
        <v>7</v>
      </c>
      <c r="C873" s="1310"/>
      <c r="D873" s="1310"/>
      <c r="E873" s="1310"/>
      <c r="F873" s="1310"/>
      <c r="G873" s="1310"/>
      <c r="H873" s="1310"/>
      <c r="I873" s="1310"/>
      <c r="J873" s="1310"/>
      <c r="K873" s="1310"/>
      <c r="L873" s="1310"/>
      <c r="M873" s="1310"/>
      <c r="N873" s="1310"/>
    </row>
    <row r="874" spans="1:18" ht="24.75" customHeight="1" x14ac:dyDescent="0.25">
      <c r="B874" s="1153" t="s">
        <v>902</v>
      </c>
      <c r="C874" s="1158" t="s">
        <v>773</v>
      </c>
      <c r="D874" s="1158"/>
      <c r="E874" s="1158"/>
      <c r="F874" s="1158"/>
      <c r="G874" s="1158"/>
      <c r="H874" s="1302"/>
      <c r="I874" s="1158" t="s">
        <v>774</v>
      </c>
      <c r="J874" s="1158"/>
      <c r="K874" s="1158"/>
      <c r="L874" s="1158"/>
      <c r="M874" s="1158"/>
      <c r="N874" s="1158"/>
    </row>
    <row r="875" spans="1:18" ht="29.25" customHeight="1" x14ac:dyDescent="0.25">
      <c r="B875" s="1158"/>
      <c r="C875" s="1158" t="s">
        <v>775</v>
      </c>
      <c r="D875" s="1158"/>
      <c r="E875" s="1158" t="s">
        <v>776</v>
      </c>
      <c r="F875" s="1158"/>
      <c r="G875" s="1158" t="s">
        <v>777</v>
      </c>
      <c r="H875" s="1302"/>
      <c r="I875" s="1158" t="s">
        <v>778</v>
      </c>
      <c r="J875" s="1158"/>
      <c r="K875" s="1158" t="s">
        <v>779</v>
      </c>
      <c r="L875" s="1158"/>
      <c r="M875" s="1158" t="s">
        <v>780</v>
      </c>
      <c r="N875" s="1158"/>
    </row>
    <row r="876" spans="1:18" x14ac:dyDescent="0.25">
      <c r="B876" s="506">
        <v>2020</v>
      </c>
      <c r="C876" s="1307">
        <v>0</v>
      </c>
      <c r="D876" s="1308"/>
      <c r="E876" s="1308">
        <v>0</v>
      </c>
      <c r="F876" s="1308"/>
      <c r="G876" s="1294">
        <v>1</v>
      </c>
      <c r="H876" s="1294"/>
      <c r="I876" s="1294">
        <v>0.42899999999999999</v>
      </c>
      <c r="J876" s="1294"/>
      <c r="K876" s="1294">
        <v>0.28599999999999998</v>
      </c>
      <c r="L876" s="1294"/>
      <c r="M876" s="1294">
        <v>0.28599999999999998</v>
      </c>
      <c r="N876" s="1294"/>
    </row>
    <row r="877" spans="1:18" ht="15.75" thickBot="1" x14ac:dyDescent="0.3">
      <c r="B877" s="505">
        <v>2023</v>
      </c>
      <c r="C877" s="1305">
        <v>4.4999999999999998E-2</v>
      </c>
      <c r="D877" s="1306"/>
      <c r="E877" s="1305">
        <v>6.8000000000000005E-2</v>
      </c>
      <c r="F877" s="1306"/>
      <c r="G877" s="1097">
        <v>0.88600000000000001</v>
      </c>
      <c r="H877" s="1097"/>
      <c r="I877" s="1097">
        <v>0.81799999999999995</v>
      </c>
      <c r="J877" s="1097"/>
      <c r="K877" s="1097">
        <v>9.0999999999999998E-2</v>
      </c>
      <c r="L877" s="1097"/>
      <c r="M877" s="1097">
        <v>9.0999999999999998E-2</v>
      </c>
      <c r="N877" s="1097"/>
    </row>
    <row r="882" spans="2:3" x14ac:dyDescent="0.25">
      <c r="B882" s="157"/>
    </row>
    <row r="883" spans="2:3" x14ac:dyDescent="0.25">
      <c r="B883" s="158"/>
      <c r="C883" s="158"/>
    </row>
    <row r="884" spans="2:3" x14ac:dyDescent="0.25">
      <c r="B884" s="158"/>
      <c r="C884" s="156"/>
    </row>
    <row r="885" spans="2:3" x14ac:dyDescent="0.25">
      <c r="B885" s="158"/>
      <c r="C885" s="156"/>
    </row>
    <row r="896" spans="2:3" x14ac:dyDescent="0.25">
      <c r="B896" s="48"/>
    </row>
    <row r="897" spans="2:15" x14ac:dyDescent="0.25">
      <c r="B897" s="1309" t="s">
        <v>8</v>
      </c>
      <c r="C897" s="1310"/>
      <c r="D897" s="1310"/>
      <c r="E897" s="1310"/>
      <c r="F897" s="1310"/>
      <c r="G897" s="1310"/>
      <c r="H897" s="1310"/>
      <c r="I897" s="1310"/>
      <c r="J897" s="1310"/>
      <c r="K897" s="1310"/>
      <c r="L897" s="1310"/>
      <c r="M897" s="1310"/>
      <c r="N897" s="1310"/>
    </row>
    <row r="898" spans="2:15" ht="23.25" customHeight="1" x14ac:dyDescent="0.25">
      <c r="B898" s="1153" t="s">
        <v>902</v>
      </c>
      <c r="C898" s="1158" t="s">
        <v>773</v>
      </c>
      <c r="D898" s="1158"/>
      <c r="E898" s="1158"/>
      <c r="F898" s="1158"/>
      <c r="G898" s="1158"/>
      <c r="H898" s="1302"/>
      <c r="I898" s="1311" t="s">
        <v>774</v>
      </c>
      <c r="J898" s="1153"/>
      <c r="K898" s="1153"/>
      <c r="L898" s="1153"/>
      <c r="M898" s="1153"/>
      <c r="N898" s="1153"/>
    </row>
    <row r="899" spans="2:15" ht="31.5" customHeight="1" x14ac:dyDescent="0.25">
      <c r="B899" s="1158"/>
      <c r="C899" s="1158" t="s">
        <v>775</v>
      </c>
      <c r="D899" s="1158"/>
      <c r="E899" s="1158" t="s">
        <v>776</v>
      </c>
      <c r="F899" s="1158"/>
      <c r="G899" s="1158" t="s">
        <v>777</v>
      </c>
      <c r="H899" s="1302"/>
      <c r="I899" s="1158" t="s">
        <v>778</v>
      </c>
      <c r="J899" s="1158"/>
      <c r="K899" s="1158" t="s">
        <v>779</v>
      </c>
      <c r="L899" s="1158"/>
      <c r="M899" s="1153" t="s">
        <v>780</v>
      </c>
      <c r="N899" s="1153"/>
    </row>
    <row r="900" spans="2:15" x14ac:dyDescent="0.25">
      <c r="B900" s="506">
        <v>2020</v>
      </c>
      <c r="C900" s="1307">
        <v>0</v>
      </c>
      <c r="D900" s="1308"/>
      <c r="E900" s="1308">
        <v>0</v>
      </c>
      <c r="F900" s="1308"/>
      <c r="G900" s="1294">
        <v>1</v>
      </c>
      <c r="H900" s="1294"/>
      <c r="I900" s="1294">
        <v>1</v>
      </c>
      <c r="J900" s="1294"/>
      <c r="K900" s="1294">
        <v>0</v>
      </c>
      <c r="L900" s="1294"/>
      <c r="M900" s="1294">
        <v>0</v>
      </c>
      <c r="N900" s="1294"/>
    </row>
    <row r="901" spans="2:15" ht="15.75" thickBot="1" x14ac:dyDescent="0.3">
      <c r="B901" s="254">
        <v>2023</v>
      </c>
      <c r="C901" s="1303">
        <v>7.3999999999999996E-2</v>
      </c>
      <c r="D901" s="1304"/>
      <c r="E901" s="1303">
        <v>3.6999999999999998E-2</v>
      </c>
      <c r="F901" s="1304"/>
      <c r="G901" s="1293">
        <v>0.88900000000000001</v>
      </c>
      <c r="H901" s="1293"/>
      <c r="I901" s="1293">
        <v>0.92600000000000005</v>
      </c>
      <c r="J901" s="1293"/>
      <c r="K901" s="1293">
        <v>3.6999999999999998E-2</v>
      </c>
      <c r="L901" s="1293"/>
      <c r="M901" s="1293">
        <v>3.6999999999999998E-2</v>
      </c>
      <c r="N901" s="1293"/>
      <c r="O901" s="48"/>
    </row>
    <row r="906" spans="2:15" x14ac:dyDescent="0.25">
      <c r="B906" s="157"/>
    </row>
    <row r="907" spans="2:15" x14ac:dyDescent="0.25">
      <c r="B907" s="158"/>
      <c r="C907" s="158"/>
    </row>
    <row r="908" spans="2:15" x14ac:dyDescent="0.25">
      <c r="B908" s="158"/>
      <c r="C908" s="156"/>
    </row>
    <row r="909" spans="2:15" x14ac:dyDescent="0.25">
      <c r="B909" s="158"/>
      <c r="C909" s="156"/>
    </row>
    <row r="920" spans="2:3" x14ac:dyDescent="0.25">
      <c r="B920" s="1013" t="s">
        <v>1922</v>
      </c>
      <c r="C920" s="1013"/>
    </row>
    <row r="921" spans="2:3" x14ac:dyDescent="0.25">
      <c r="B921" s="40" t="s">
        <v>1124</v>
      </c>
      <c r="C921" s="40"/>
    </row>
  </sheetData>
  <sortState xmlns:xlrd2="http://schemas.microsoft.com/office/spreadsheetml/2017/richdata2" ref="B412:C462">
    <sortCondition ref="B44"/>
  </sortState>
  <mergeCells count="3111">
    <mergeCell ref="J278:K278"/>
    <mergeCell ref="J279:K279"/>
    <mergeCell ref="J259:K259"/>
    <mergeCell ref="J238:K238"/>
    <mergeCell ref="F244:G244"/>
    <mergeCell ref="H271:I271"/>
    <mergeCell ref="J243:K243"/>
    <mergeCell ref="J244:K244"/>
    <mergeCell ref="J255:K255"/>
    <mergeCell ref="J256:K256"/>
    <mergeCell ref="D234:E234"/>
    <mergeCell ref="F234:G234"/>
    <mergeCell ref="H234:I234"/>
    <mergeCell ref="D235:E235"/>
    <mergeCell ref="F235:G235"/>
    <mergeCell ref="F233:G233"/>
    <mergeCell ref="D257:E257"/>
    <mergeCell ref="J269:K269"/>
    <mergeCell ref="J270:K270"/>
    <mergeCell ref="J271:K271"/>
    <mergeCell ref="J272:K272"/>
    <mergeCell ref="J273:K273"/>
    <mergeCell ref="J274:K274"/>
    <mergeCell ref="F275:G275"/>
    <mergeCell ref="H275:I275"/>
    <mergeCell ref="D276:E276"/>
    <mergeCell ref="F276:G276"/>
    <mergeCell ref="H276:I276"/>
    <mergeCell ref="J275:K275"/>
    <mergeCell ref="J276:K276"/>
    <mergeCell ref="J277:K277"/>
    <mergeCell ref="F266:G266"/>
    <mergeCell ref="B231:C231"/>
    <mergeCell ref="B232:C232"/>
    <mergeCell ref="B233:C233"/>
    <mergeCell ref="H262:I262"/>
    <mergeCell ref="D274:E274"/>
    <mergeCell ref="D254:E254"/>
    <mergeCell ref="F265:G265"/>
    <mergeCell ref="B310:C310"/>
    <mergeCell ref="D310:E310"/>
    <mergeCell ref="F310:G310"/>
    <mergeCell ref="H310:I310"/>
    <mergeCell ref="J310:K310"/>
    <mergeCell ref="B218:C218"/>
    <mergeCell ref="D218:E218"/>
    <mergeCell ref="F218:G218"/>
    <mergeCell ref="H218:I218"/>
    <mergeCell ref="J218:K218"/>
    <mergeCell ref="B306:C306"/>
    <mergeCell ref="D306:E306"/>
    <mergeCell ref="F306:G306"/>
    <mergeCell ref="H306:I306"/>
    <mergeCell ref="J306:K306"/>
    <mergeCell ref="B307:C307"/>
    <mergeCell ref="D307:E307"/>
    <mergeCell ref="J282:K282"/>
    <mergeCell ref="J227:K227"/>
    <mergeCell ref="F307:G307"/>
    <mergeCell ref="H307:I307"/>
    <mergeCell ref="J307:K307"/>
    <mergeCell ref="B308:C308"/>
    <mergeCell ref="J234:K234"/>
    <mergeCell ref="J235:K235"/>
    <mergeCell ref="D308:E308"/>
    <mergeCell ref="F215:G215"/>
    <mergeCell ref="H215:I215"/>
    <mergeCell ref="J215:K215"/>
    <mergeCell ref="H233:I233"/>
    <mergeCell ref="B226:C226"/>
    <mergeCell ref="F217:G217"/>
    <mergeCell ref="H217:I217"/>
    <mergeCell ref="J217:K217"/>
    <mergeCell ref="H226:I226"/>
    <mergeCell ref="B224:C224"/>
    <mergeCell ref="D224:E224"/>
    <mergeCell ref="F224:G224"/>
    <mergeCell ref="H224:I224"/>
    <mergeCell ref="B225:C225"/>
    <mergeCell ref="D225:E225"/>
    <mergeCell ref="F225:G225"/>
    <mergeCell ref="H225:I225"/>
    <mergeCell ref="B222:C222"/>
    <mergeCell ref="D247:E247"/>
    <mergeCell ref="F247:G247"/>
    <mergeCell ref="H247:I247"/>
    <mergeCell ref="H252:I252"/>
    <mergeCell ref="D253:E253"/>
    <mergeCell ref="F253:G253"/>
    <mergeCell ref="H253:I253"/>
    <mergeCell ref="H273:I273"/>
    <mergeCell ref="H263:I263"/>
    <mergeCell ref="H288:I288"/>
    <mergeCell ref="J254:K254"/>
    <mergeCell ref="D290:E290"/>
    <mergeCell ref="F290:G290"/>
    <mergeCell ref="B210:C210"/>
    <mergeCell ref="D210:E210"/>
    <mergeCell ref="F210:G210"/>
    <mergeCell ref="H210:I210"/>
    <mergeCell ref="J210:K210"/>
    <mergeCell ref="B211:C211"/>
    <mergeCell ref="D211:E211"/>
    <mergeCell ref="F211:G211"/>
    <mergeCell ref="H211:I211"/>
    <mergeCell ref="J211:K211"/>
    <mergeCell ref="B212:C212"/>
    <mergeCell ref="D212:E212"/>
    <mergeCell ref="F212:G212"/>
    <mergeCell ref="H212:I212"/>
    <mergeCell ref="J212:K212"/>
    <mergeCell ref="J220:K220"/>
    <mergeCell ref="J221:K221"/>
    <mergeCell ref="B221:C221"/>
    <mergeCell ref="D221:E221"/>
    <mergeCell ref="F221:G221"/>
    <mergeCell ref="B213:C213"/>
    <mergeCell ref="D213:E213"/>
    <mergeCell ref="F213:G213"/>
    <mergeCell ref="H213:I213"/>
    <mergeCell ref="J213:K213"/>
    <mergeCell ref="B214:C214"/>
    <mergeCell ref="D214:E214"/>
    <mergeCell ref="F214:G214"/>
    <mergeCell ref="H214:I214"/>
    <mergeCell ref="J214:K214"/>
    <mergeCell ref="B215:C215"/>
    <mergeCell ref="D215:E215"/>
    <mergeCell ref="J281:K281"/>
    <mergeCell ref="H286:I286"/>
    <mergeCell ref="H287:I287"/>
    <mergeCell ref="H285:I285"/>
    <mergeCell ref="D280:E280"/>
    <mergeCell ref="F282:G282"/>
    <mergeCell ref="H282:I282"/>
    <mergeCell ref="D283:E283"/>
    <mergeCell ref="F283:G283"/>
    <mergeCell ref="H283:I283"/>
    <mergeCell ref="D284:E284"/>
    <mergeCell ref="F284:G284"/>
    <mergeCell ref="H284:I284"/>
    <mergeCell ref="D285:E285"/>
    <mergeCell ref="F285:G285"/>
    <mergeCell ref="D281:E281"/>
    <mergeCell ref="F281:G281"/>
    <mergeCell ref="H281:I281"/>
    <mergeCell ref="J283:K283"/>
    <mergeCell ref="J284:K284"/>
    <mergeCell ref="J285:K285"/>
    <mergeCell ref="J286:K286"/>
    <mergeCell ref="J287:K287"/>
    <mergeCell ref="J280:K280"/>
    <mergeCell ref="B208:C208"/>
    <mergeCell ref="D208:E208"/>
    <mergeCell ref="F208:G208"/>
    <mergeCell ref="H208:I208"/>
    <mergeCell ref="J208:K208"/>
    <mergeCell ref="B209:C209"/>
    <mergeCell ref="D209:E209"/>
    <mergeCell ref="F209:G209"/>
    <mergeCell ref="H209:I209"/>
    <mergeCell ref="J209:K209"/>
    <mergeCell ref="B309:C309"/>
    <mergeCell ref="D309:E309"/>
    <mergeCell ref="F309:G309"/>
    <mergeCell ref="H309:I309"/>
    <mergeCell ref="J309:K309"/>
    <mergeCell ref="F308:G308"/>
    <mergeCell ref="H308:I308"/>
    <mergeCell ref="J308:K308"/>
    <mergeCell ref="J266:K266"/>
    <mergeCell ref="J267:K267"/>
    <mergeCell ref="B216:C216"/>
    <mergeCell ref="D216:E216"/>
    <mergeCell ref="F216:G216"/>
    <mergeCell ref="H216:I216"/>
    <mergeCell ref="J216:K216"/>
    <mergeCell ref="B217:C217"/>
    <mergeCell ref="D217:E217"/>
    <mergeCell ref="H302:I302"/>
    <mergeCell ref="D303:E303"/>
    <mergeCell ref="F303:G303"/>
    <mergeCell ref="H303:I303"/>
    <mergeCell ref="J300:K300"/>
    <mergeCell ref="B204:C204"/>
    <mergeCell ref="D204:E204"/>
    <mergeCell ref="F204:G204"/>
    <mergeCell ref="H204:I204"/>
    <mergeCell ref="J204:K204"/>
    <mergeCell ref="B205:C205"/>
    <mergeCell ref="D205:E205"/>
    <mergeCell ref="F205:G205"/>
    <mergeCell ref="H205:I205"/>
    <mergeCell ref="J205:K205"/>
    <mergeCell ref="B206:C206"/>
    <mergeCell ref="D206:E206"/>
    <mergeCell ref="F206:G206"/>
    <mergeCell ref="H206:I206"/>
    <mergeCell ref="J206:K206"/>
    <mergeCell ref="B207:C207"/>
    <mergeCell ref="D207:E207"/>
    <mergeCell ref="F207:G207"/>
    <mergeCell ref="H207:I207"/>
    <mergeCell ref="J207:K207"/>
    <mergeCell ref="B200:C200"/>
    <mergeCell ref="D200:E200"/>
    <mergeCell ref="F200:G200"/>
    <mergeCell ref="H200:I200"/>
    <mergeCell ref="J200:K200"/>
    <mergeCell ref="B201:C201"/>
    <mergeCell ref="D201:E201"/>
    <mergeCell ref="F201:G201"/>
    <mergeCell ref="H201:I201"/>
    <mergeCell ref="J201:K201"/>
    <mergeCell ref="B202:C202"/>
    <mergeCell ref="D202:E202"/>
    <mergeCell ref="F202:G202"/>
    <mergeCell ref="H202:I202"/>
    <mergeCell ref="J202:K202"/>
    <mergeCell ref="B203:C203"/>
    <mergeCell ref="D203:E203"/>
    <mergeCell ref="F203:G203"/>
    <mergeCell ref="H203:I203"/>
    <mergeCell ref="J203:K203"/>
    <mergeCell ref="B196:C196"/>
    <mergeCell ref="D196:E196"/>
    <mergeCell ref="F196:G196"/>
    <mergeCell ref="H196:I196"/>
    <mergeCell ref="J196:K196"/>
    <mergeCell ref="B197:C197"/>
    <mergeCell ref="D197:E197"/>
    <mergeCell ref="F197:G197"/>
    <mergeCell ref="H197:I197"/>
    <mergeCell ref="J197:K197"/>
    <mergeCell ref="B198:C198"/>
    <mergeCell ref="D198:E198"/>
    <mergeCell ref="F198:G198"/>
    <mergeCell ref="H198:I198"/>
    <mergeCell ref="J198:K198"/>
    <mergeCell ref="B199:C199"/>
    <mergeCell ref="D199:E199"/>
    <mergeCell ref="F199:G199"/>
    <mergeCell ref="H199:I199"/>
    <mergeCell ref="J199:K199"/>
    <mergeCell ref="B192:C192"/>
    <mergeCell ref="D192:E192"/>
    <mergeCell ref="F192:G192"/>
    <mergeCell ref="H192:I192"/>
    <mergeCell ref="J192:K192"/>
    <mergeCell ref="B193:C193"/>
    <mergeCell ref="D193:E193"/>
    <mergeCell ref="F193:G193"/>
    <mergeCell ref="H193:I193"/>
    <mergeCell ref="J193:K193"/>
    <mergeCell ref="B194:C194"/>
    <mergeCell ref="D194:E194"/>
    <mergeCell ref="F194:G194"/>
    <mergeCell ref="H194:I194"/>
    <mergeCell ref="J194:K194"/>
    <mergeCell ref="B195:C195"/>
    <mergeCell ref="D195:E195"/>
    <mergeCell ref="F195:G195"/>
    <mergeCell ref="H195:I195"/>
    <mergeCell ref="J195:K195"/>
    <mergeCell ref="B188:C188"/>
    <mergeCell ref="D188:E188"/>
    <mergeCell ref="F188:G188"/>
    <mergeCell ref="H188:I188"/>
    <mergeCell ref="J188:K188"/>
    <mergeCell ref="B189:C189"/>
    <mergeCell ref="D189:E189"/>
    <mergeCell ref="F189:G189"/>
    <mergeCell ref="H189:I189"/>
    <mergeCell ref="J189:K189"/>
    <mergeCell ref="B190:C190"/>
    <mergeCell ref="D190:E190"/>
    <mergeCell ref="F190:G190"/>
    <mergeCell ref="H190:I190"/>
    <mergeCell ref="J190:K190"/>
    <mergeCell ref="B191:C191"/>
    <mergeCell ref="D191:E191"/>
    <mergeCell ref="F191:G191"/>
    <mergeCell ref="H191:I191"/>
    <mergeCell ref="J191:K191"/>
    <mergeCell ref="B184:C184"/>
    <mergeCell ref="D184:E184"/>
    <mergeCell ref="F184:G184"/>
    <mergeCell ref="H184:I184"/>
    <mergeCell ref="J184:K184"/>
    <mergeCell ref="B185:C185"/>
    <mergeCell ref="D185:E185"/>
    <mergeCell ref="F185:G185"/>
    <mergeCell ref="H185:I185"/>
    <mergeCell ref="J185:K185"/>
    <mergeCell ref="B186:C186"/>
    <mergeCell ref="D186:E186"/>
    <mergeCell ref="F186:G186"/>
    <mergeCell ref="H186:I186"/>
    <mergeCell ref="J186:K186"/>
    <mergeCell ref="B187:C187"/>
    <mergeCell ref="D187:E187"/>
    <mergeCell ref="F187:G187"/>
    <mergeCell ref="H187:I187"/>
    <mergeCell ref="J187:K187"/>
    <mergeCell ref="B180:C180"/>
    <mergeCell ref="D180:E180"/>
    <mergeCell ref="F180:G180"/>
    <mergeCell ref="H180:I180"/>
    <mergeCell ref="J180:K180"/>
    <mergeCell ref="B181:C181"/>
    <mergeCell ref="D181:E181"/>
    <mergeCell ref="F181:G181"/>
    <mergeCell ref="H181:I181"/>
    <mergeCell ref="J181:K181"/>
    <mergeCell ref="B182:C182"/>
    <mergeCell ref="D182:E182"/>
    <mergeCell ref="F182:G182"/>
    <mergeCell ref="H182:I182"/>
    <mergeCell ref="J182:K182"/>
    <mergeCell ref="B183:C183"/>
    <mergeCell ref="D183:E183"/>
    <mergeCell ref="F183:G183"/>
    <mergeCell ref="H183:I183"/>
    <mergeCell ref="J183:K183"/>
    <mergeCell ref="B176:C176"/>
    <mergeCell ref="D176:E176"/>
    <mergeCell ref="F176:G176"/>
    <mergeCell ref="H176:I176"/>
    <mergeCell ref="J176:K176"/>
    <mergeCell ref="B177:C177"/>
    <mergeCell ref="D177:E177"/>
    <mergeCell ref="F177:G177"/>
    <mergeCell ref="H177:I177"/>
    <mergeCell ref="J177:K177"/>
    <mergeCell ref="B178:C178"/>
    <mergeCell ref="D178:E178"/>
    <mergeCell ref="F178:G178"/>
    <mergeCell ref="H178:I178"/>
    <mergeCell ref="J178:K178"/>
    <mergeCell ref="B179:C179"/>
    <mergeCell ref="D179:E179"/>
    <mergeCell ref="F179:G179"/>
    <mergeCell ref="H179:I179"/>
    <mergeCell ref="J179:K179"/>
    <mergeCell ref="B172:C172"/>
    <mergeCell ref="D172:E172"/>
    <mergeCell ref="F172:G172"/>
    <mergeCell ref="H172:I172"/>
    <mergeCell ref="J172:K172"/>
    <mergeCell ref="B173:C173"/>
    <mergeCell ref="D173:E173"/>
    <mergeCell ref="F173:G173"/>
    <mergeCell ref="H173:I173"/>
    <mergeCell ref="J173:K173"/>
    <mergeCell ref="B174:C174"/>
    <mergeCell ref="D174:E174"/>
    <mergeCell ref="F174:G174"/>
    <mergeCell ref="H174:I174"/>
    <mergeCell ref="J174:K174"/>
    <mergeCell ref="B175:C175"/>
    <mergeCell ref="D175:E175"/>
    <mergeCell ref="F175:G175"/>
    <mergeCell ref="H175:I175"/>
    <mergeCell ref="J175:K175"/>
    <mergeCell ref="B168:C168"/>
    <mergeCell ref="D168:E168"/>
    <mergeCell ref="F168:G168"/>
    <mergeCell ref="H168:I168"/>
    <mergeCell ref="J168:K168"/>
    <mergeCell ref="B169:C169"/>
    <mergeCell ref="D169:E169"/>
    <mergeCell ref="F169:G169"/>
    <mergeCell ref="H169:I169"/>
    <mergeCell ref="J169:K169"/>
    <mergeCell ref="B170:C170"/>
    <mergeCell ref="D170:E170"/>
    <mergeCell ref="F170:G170"/>
    <mergeCell ref="H170:I170"/>
    <mergeCell ref="J170:K170"/>
    <mergeCell ref="B171:C171"/>
    <mergeCell ref="D171:E171"/>
    <mergeCell ref="F171:G171"/>
    <mergeCell ref="H171:I171"/>
    <mergeCell ref="J171:K171"/>
    <mergeCell ref="B164:C164"/>
    <mergeCell ref="D164:E164"/>
    <mergeCell ref="F164:G164"/>
    <mergeCell ref="H164:I164"/>
    <mergeCell ref="J164:K164"/>
    <mergeCell ref="B165:C165"/>
    <mergeCell ref="D165:E165"/>
    <mergeCell ref="F165:G165"/>
    <mergeCell ref="H165:I165"/>
    <mergeCell ref="J165:K165"/>
    <mergeCell ref="B166:C166"/>
    <mergeCell ref="D166:E166"/>
    <mergeCell ref="F166:G166"/>
    <mergeCell ref="H166:I166"/>
    <mergeCell ref="J166:K166"/>
    <mergeCell ref="B167:C167"/>
    <mergeCell ref="D167:E167"/>
    <mergeCell ref="F167:G167"/>
    <mergeCell ref="H167:I167"/>
    <mergeCell ref="J167:K167"/>
    <mergeCell ref="B160:C160"/>
    <mergeCell ref="D160:E160"/>
    <mergeCell ref="F160:G160"/>
    <mergeCell ref="H160:I160"/>
    <mergeCell ref="J160:K160"/>
    <mergeCell ref="B161:C161"/>
    <mergeCell ref="D161:E161"/>
    <mergeCell ref="F161:G161"/>
    <mergeCell ref="H161:I161"/>
    <mergeCell ref="J161:K161"/>
    <mergeCell ref="B162:C162"/>
    <mergeCell ref="D162:E162"/>
    <mergeCell ref="F162:G162"/>
    <mergeCell ref="H162:I162"/>
    <mergeCell ref="J162:K162"/>
    <mergeCell ref="B163:C163"/>
    <mergeCell ref="D163:E163"/>
    <mergeCell ref="F163:G163"/>
    <mergeCell ref="H163:I163"/>
    <mergeCell ref="J163:K163"/>
    <mergeCell ref="B156:C156"/>
    <mergeCell ref="D156:E156"/>
    <mergeCell ref="F156:G156"/>
    <mergeCell ref="H156:I156"/>
    <mergeCell ref="J156:K156"/>
    <mergeCell ref="B157:C157"/>
    <mergeCell ref="D157:E157"/>
    <mergeCell ref="F157:G157"/>
    <mergeCell ref="H157:I157"/>
    <mergeCell ref="J157:K157"/>
    <mergeCell ref="B158:C158"/>
    <mergeCell ref="D158:E158"/>
    <mergeCell ref="F158:G158"/>
    <mergeCell ref="H158:I158"/>
    <mergeCell ref="J158:K158"/>
    <mergeCell ref="B159:C159"/>
    <mergeCell ref="D159:E159"/>
    <mergeCell ref="F159:G159"/>
    <mergeCell ref="H159:I159"/>
    <mergeCell ref="J159:K159"/>
    <mergeCell ref="B152:C152"/>
    <mergeCell ref="D152:E152"/>
    <mergeCell ref="F152:G152"/>
    <mergeCell ref="H152:I152"/>
    <mergeCell ref="J152:K152"/>
    <mergeCell ref="B153:C153"/>
    <mergeCell ref="D153:E153"/>
    <mergeCell ref="F153:G153"/>
    <mergeCell ref="H153:I153"/>
    <mergeCell ref="J153:K153"/>
    <mergeCell ref="B154:C154"/>
    <mergeCell ref="D154:E154"/>
    <mergeCell ref="F154:G154"/>
    <mergeCell ref="H154:I154"/>
    <mergeCell ref="J154:K154"/>
    <mergeCell ref="B155:C155"/>
    <mergeCell ref="D155:E155"/>
    <mergeCell ref="F155:G155"/>
    <mergeCell ref="H155:I155"/>
    <mergeCell ref="J155:K155"/>
    <mergeCell ref="B148:C148"/>
    <mergeCell ref="D148:E148"/>
    <mergeCell ref="F148:G148"/>
    <mergeCell ref="H148:I148"/>
    <mergeCell ref="J148:K148"/>
    <mergeCell ref="B149:C149"/>
    <mergeCell ref="D149:E149"/>
    <mergeCell ref="F149:G149"/>
    <mergeCell ref="H149:I149"/>
    <mergeCell ref="J149:K149"/>
    <mergeCell ref="B150:C150"/>
    <mergeCell ref="D150:E150"/>
    <mergeCell ref="F150:G150"/>
    <mergeCell ref="H150:I150"/>
    <mergeCell ref="J150:K150"/>
    <mergeCell ref="B151:C151"/>
    <mergeCell ref="D151:E151"/>
    <mergeCell ref="F151:G151"/>
    <mergeCell ref="H151:I151"/>
    <mergeCell ref="J151:K151"/>
    <mergeCell ref="B144:C144"/>
    <mergeCell ref="D144:E144"/>
    <mergeCell ref="F144:G144"/>
    <mergeCell ref="H144:I144"/>
    <mergeCell ref="J144:K144"/>
    <mergeCell ref="B145:C145"/>
    <mergeCell ref="D145:E145"/>
    <mergeCell ref="F145:G145"/>
    <mergeCell ref="H145:I145"/>
    <mergeCell ref="J145:K145"/>
    <mergeCell ref="B146:C146"/>
    <mergeCell ref="D146:E146"/>
    <mergeCell ref="F146:G146"/>
    <mergeCell ref="H146:I146"/>
    <mergeCell ref="J146:K146"/>
    <mergeCell ref="B147:C147"/>
    <mergeCell ref="D147:E147"/>
    <mergeCell ref="F147:G147"/>
    <mergeCell ref="H147:I147"/>
    <mergeCell ref="J147:K147"/>
    <mergeCell ref="B140:C140"/>
    <mergeCell ref="D140:E140"/>
    <mergeCell ref="F140:G140"/>
    <mergeCell ref="H140:I140"/>
    <mergeCell ref="J140:K140"/>
    <mergeCell ref="B141:C141"/>
    <mergeCell ref="D141:E141"/>
    <mergeCell ref="F141:G141"/>
    <mergeCell ref="H141:I141"/>
    <mergeCell ref="J141:K141"/>
    <mergeCell ref="B142:C142"/>
    <mergeCell ref="D142:E142"/>
    <mergeCell ref="F142:G142"/>
    <mergeCell ref="H142:I142"/>
    <mergeCell ref="J142:K142"/>
    <mergeCell ref="B143:C143"/>
    <mergeCell ref="D143:E143"/>
    <mergeCell ref="F143:G143"/>
    <mergeCell ref="H143:I143"/>
    <mergeCell ref="J143:K143"/>
    <mergeCell ref="B136:C136"/>
    <mergeCell ref="D136:E136"/>
    <mergeCell ref="F136:G136"/>
    <mergeCell ref="H136:I136"/>
    <mergeCell ref="J136:K136"/>
    <mergeCell ref="B137:C137"/>
    <mergeCell ref="D137:E137"/>
    <mergeCell ref="F137:G137"/>
    <mergeCell ref="H137:I137"/>
    <mergeCell ref="J137:K137"/>
    <mergeCell ref="B138:C138"/>
    <mergeCell ref="D138:E138"/>
    <mergeCell ref="F138:G138"/>
    <mergeCell ref="H138:I138"/>
    <mergeCell ref="J138:K138"/>
    <mergeCell ref="B139:C139"/>
    <mergeCell ref="D139:E139"/>
    <mergeCell ref="F139:G139"/>
    <mergeCell ref="H139:I139"/>
    <mergeCell ref="J139:K139"/>
    <mergeCell ref="B132:C132"/>
    <mergeCell ref="D132:E132"/>
    <mergeCell ref="F132:G132"/>
    <mergeCell ref="H132:I132"/>
    <mergeCell ref="J132:K132"/>
    <mergeCell ref="B133:C133"/>
    <mergeCell ref="D133:E133"/>
    <mergeCell ref="F133:G133"/>
    <mergeCell ref="H133:I133"/>
    <mergeCell ref="J133:K133"/>
    <mergeCell ref="B134:C134"/>
    <mergeCell ref="D134:E134"/>
    <mergeCell ref="F134:G134"/>
    <mergeCell ref="H134:I134"/>
    <mergeCell ref="J134:K134"/>
    <mergeCell ref="B135:C135"/>
    <mergeCell ref="D135:E135"/>
    <mergeCell ref="F135:G135"/>
    <mergeCell ref="H135:I135"/>
    <mergeCell ref="J135:K135"/>
    <mergeCell ref="B128:C128"/>
    <mergeCell ref="D128:E128"/>
    <mergeCell ref="F128:G128"/>
    <mergeCell ref="H128:I128"/>
    <mergeCell ref="J128:K128"/>
    <mergeCell ref="B129:C129"/>
    <mergeCell ref="D129:E129"/>
    <mergeCell ref="F129:G129"/>
    <mergeCell ref="H129:I129"/>
    <mergeCell ref="J129:K129"/>
    <mergeCell ref="B130:C130"/>
    <mergeCell ref="D130:E130"/>
    <mergeCell ref="F130:G130"/>
    <mergeCell ref="H130:I130"/>
    <mergeCell ref="J130:K130"/>
    <mergeCell ref="B131:C131"/>
    <mergeCell ref="D131:E131"/>
    <mergeCell ref="F131:G131"/>
    <mergeCell ref="H131:I131"/>
    <mergeCell ref="J131:K131"/>
    <mergeCell ref="B124:C124"/>
    <mergeCell ref="D124:E124"/>
    <mergeCell ref="F124:G124"/>
    <mergeCell ref="H124:I124"/>
    <mergeCell ref="J124:K124"/>
    <mergeCell ref="B125:C125"/>
    <mergeCell ref="D125:E125"/>
    <mergeCell ref="F125:G125"/>
    <mergeCell ref="H125:I125"/>
    <mergeCell ref="J125:K125"/>
    <mergeCell ref="B126:C126"/>
    <mergeCell ref="D126:E126"/>
    <mergeCell ref="F126:G126"/>
    <mergeCell ref="H126:I126"/>
    <mergeCell ref="J126:K126"/>
    <mergeCell ref="B127:C127"/>
    <mergeCell ref="D127:E127"/>
    <mergeCell ref="F127:G127"/>
    <mergeCell ref="H127:I127"/>
    <mergeCell ref="J127:K127"/>
    <mergeCell ref="B120:C120"/>
    <mergeCell ref="D120:E120"/>
    <mergeCell ref="F120:G120"/>
    <mergeCell ref="H120:I120"/>
    <mergeCell ref="J120:K120"/>
    <mergeCell ref="B121:C121"/>
    <mergeCell ref="D121:E121"/>
    <mergeCell ref="F121:G121"/>
    <mergeCell ref="H121:I121"/>
    <mergeCell ref="J121:K121"/>
    <mergeCell ref="B122:C122"/>
    <mergeCell ref="D122:E122"/>
    <mergeCell ref="F122:G122"/>
    <mergeCell ref="H122:I122"/>
    <mergeCell ref="J122:K122"/>
    <mergeCell ref="B123:C123"/>
    <mergeCell ref="D123:E123"/>
    <mergeCell ref="F123:G123"/>
    <mergeCell ref="H123:I123"/>
    <mergeCell ref="J123:K123"/>
    <mergeCell ref="B116:C116"/>
    <mergeCell ref="D116:E116"/>
    <mergeCell ref="F116:G116"/>
    <mergeCell ref="H116:I116"/>
    <mergeCell ref="J116:K116"/>
    <mergeCell ref="B117:C117"/>
    <mergeCell ref="D117:E117"/>
    <mergeCell ref="F117:G117"/>
    <mergeCell ref="H117:I117"/>
    <mergeCell ref="J117:K117"/>
    <mergeCell ref="B118:C118"/>
    <mergeCell ref="D118:E118"/>
    <mergeCell ref="F118:G118"/>
    <mergeCell ref="H118:I118"/>
    <mergeCell ref="J118:K118"/>
    <mergeCell ref="B119:C119"/>
    <mergeCell ref="D119:E119"/>
    <mergeCell ref="F119:G119"/>
    <mergeCell ref="H119:I119"/>
    <mergeCell ref="J119:K119"/>
    <mergeCell ref="B112:C112"/>
    <mergeCell ref="D112:E112"/>
    <mergeCell ref="F112:G112"/>
    <mergeCell ref="H112:I112"/>
    <mergeCell ref="J112:K112"/>
    <mergeCell ref="B113:C113"/>
    <mergeCell ref="D113:E113"/>
    <mergeCell ref="F113:G113"/>
    <mergeCell ref="H113:I113"/>
    <mergeCell ref="J113:K113"/>
    <mergeCell ref="B114:C114"/>
    <mergeCell ref="D114:E114"/>
    <mergeCell ref="F114:G114"/>
    <mergeCell ref="H114:I114"/>
    <mergeCell ref="J114:K114"/>
    <mergeCell ref="B115:C115"/>
    <mergeCell ref="D115:E115"/>
    <mergeCell ref="F115:G115"/>
    <mergeCell ref="H115:I115"/>
    <mergeCell ref="J115:K115"/>
    <mergeCell ref="B108:C108"/>
    <mergeCell ref="D108:E108"/>
    <mergeCell ref="F108:G108"/>
    <mergeCell ref="H108:I108"/>
    <mergeCell ref="J108:K108"/>
    <mergeCell ref="B109:C109"/>
    <mergeCell ref="D109:E109"/>
    <mergeCell ref="F109:G109"/>
    <mergeCell ref="H109:I109"/>
    <mergeCell ref="J109:K109"/>
    <mergeCell ref="B110:C110"/>
    <mergeCell ref="D110:E110"/>
    <mergeCell ref="F110:G110"/>
    <mergeCell ref="H110:I110"/>
    <mergeCell ref="J110:K110"/>
    <mergeCell ref="B111:C111"/>
    <mergeCell ref="D111:E111"/>
    <mergeCell ref="F111:G111"/>
    <mergeCell ref="H111:I111"/>
    <mergeCell ref="J111:K111"/>
    <mergeCell ref="B104:C104"/>
    <mergeCell ref="D104:E104"/>
    <mergeCell ref="F104:G104"/>
    <mergeCell ref="H104:I104"/>
    <mergeCell ref="J104:K104"/>
    <mergeCell ref="B105:C105"/>
    <mergeCell ref="D105:E105"/>
    <mergeCell ref="F105:G105"/>
    <mergeCell ref="H105:I105"/>
    <mergeCell ref="J105:K105"/>
    <mergeCell ref="B106:C106"/>
    <mergeCell ref="D106:E106"/>
    <mergeCell ref="F106:G106"/>
    <mergeCell ref="H106:I106"/>
    <mergeCell ref="J106:K106"/>
    <mergeCell ref="B107:C107"/>
    <mergeCell ref="D107:E107"/>
    <mergeCell ref="F107:G107"/>
    <mergeCell ref="H107:I107"/>
    <mergeCell ref="J107:K107"/>
    <mergeCell ref="B100:C100"/>
    <mergeCell ref="D100:E100"/>
    <mergeCell ref="F100:G100"/>
    <mergeCell ref="H100:I100"/>
    <mergeCell ref="J100:K100"/>
    <mergeCell ref="B101:C101"/>
    <mergeCell ref="D101:E101"/>
    <mergeCell ref="F101:G101"/>
    <mergeCell ref="H101:I101"/>
    <mergeCell ref="J101:K101"/>
    <mergeCell ref="B102:C102"/>
    <mergeCell ref="D102:E102"/>
    <mergeCell ref="F102:G102"/>
    <mergeCell ref="H102:I102"/>
    <mergeCell ref="J102:K102"/>
    <mergeCell ref="B103:C103"/>
    <mergeCell ref="D103:E103"/>
    <mergeCell ref="F103:G103"/>
    <mergeCell ref="H103:I103"/>
    <mergeCell ref="J103:K103"/>
    <mergeCell ref="F91:G91"/>
    <mergeCell ref="H91:I91"/>
    <mergeCell ref="J95:K95"/>
    <mergeCell ref="J96:K96"/>
    <mergeCell ref="B97:C97"/>
    <mergeCell ref="D97:E97"/>
    <mergeCell ref="F97:G97"/>
    <mergeCell ref="H97:I97"/>
    <mergeCell ref="J97:K97"/>
    <mergeCell ref="B98:C98"/>
    <mergeCell ref="D98:E98"/>
    <mergeCell ref="F98:G98"/>
    <mergeCell ref="H98:I98"/>
    <mergeCell ref="J98:K98"/>
    <mergeCell ref="B99:C99"/>
    <mergeCell ref="D99:E99"/>
    <mergeCell ref="F99:G99"/>
    <mergeCell ref="H99:I99"/>
    <mergeCell ref="J99:K99"/>
    <mergeCell ref="D96:E96"/>
    <mergeCell ref="F96:G96"/>
    <mergeCell ref="H96:I96"/>
    <mergeCell ref="B96:C96"/>
    <mergeCell ref="B95:C95"/>
    <mergeCell ref="D95:E95"/>
    <mergeCell ref="F95:G95"/>
    <mergeCell ref="H95:I95"/>
    <mergeCell ref="B492:C492"/>
    <mergeCell ref="B457:C457"/>
    <mergeCell ref="B491:C491"/>
    <mergeCell ref="D491:E491"/>
    <mergeCell ref="F491:G491"/>
    <mergeCell ref="J92:K92"/>
    <mergeCell ref="B93:C93"/>
    <mergeCell ref="D93:E93"/>
    <mergeCell ref="F93:G93"/>
    <mergeCell ref="H93:I93"/>
    <mergeCell ref="J93:K93"/>
    <mergeCell ref="B94:C94"/>
    <mergeCell ref="D94:E94"/>
    <mergeCell ref="F94:G94"/>
    <mergeCell ref="H94:I94"/>
    <mergeCell ref="J94:K94"/>
    <mergeCell ref="B87:C87"/>
    <mergeCell ref="D87:E87"/>
    <mergeCell ref="F87:G87"/>
    <mergeCell ref="H87:I87"/>
    <mergeCell ref="J87:K87"/>
    <mergeCell ref="B88:C88"/>
    <mergeCell ref="D88:E88"/>
    <mergeCell ref="F88:G88"/>
    <mergeCell ref="H88:I88"/>
    <mergeCell ref="J88:K88"/>
    <mergeCell ref="B89:C89"/>
    <mergeCell ref="D89:E89"/>
    <mergeCell ref="F89:G89"/>
    <mergeCell ref="H89:I89"/>
    <mergeCell ref="J89:K89"/>
    <mergeCell ref="D91:E91"/>
    <mergeCell ref="B82:C82"/>
    <mergeCell ref="D82:E82"/>
    <mergeCell ref="F82:G82"/>
    <mergeCell ref="H82:I82"/>
    <mergeCell ref="J82:K82"/>
    <mergeCell ref="B83:C83"/>
    <mergeCell ref="D83:E83"/>
    <mergeCell ref="F83:G83"/>
    <mergeCell ref="H83:I83"/>
    <mergeCell ref="J83:K83"/>
    <mergeCell ref="H84:I84"/>
    <mergeCell ref="J84:K84"/>
    <mergeCell ref="B85:C85"/>
    <mergeCell ref="D85:E85"/>
    <mergeCell ref="F85:G85"/>
    <mergeCell ref="H85:I85"/>
    <mergeCell ref="B81:C81"/>
    <mergeCell ref="L490:M490"/>
    <mergeCell ref="J43:K43"/>
    <mergeCell ref="J76:K76"/>
    <mergeCell ref="B77:C77"/>
    <mergeCell ref="J85:K85"/>
    <mergeCell ref="J14:K14"/>
    <mergeCell ref="J39:K39"/>
    <mergeCell ref="B13:K13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B39:C39"/>
    <mergeCell ref="F20:G20"/>
    <mergeCell ref="B21:C21"/>
    <mergeCell ref="D21:E21"/>
    <mergeCell ref="F21:G21"/>
    <mergeCell ref="B468:C468"/>
    <mergeCell ref="D468:E468"/>
    <mergeCell ref="B90:C90"/>
    <mergeCell ref="D90:E90"/>
    <mergeCell ref="F90:G90"/>
    <mergeCell ref="H90:I90"/>
    <mergeCell ref="J90:K90"/>
    <mergeCell ref="H80:I80"/>
    <mergeCell ref="J80:K80"/>
    <mergeCell ref="B14:C14"/>
    <mergeCell ref="B16:C16"/>
    <mergeCell ref="B15:C15"/>
    <mergeCell ref="I535:J535"/>
    <mergeCell ref="D536:F536"/>
    <mergeCell ref="G536:H536"/>
    <mergeCell ref="I536:J536"/>
    <mergeCell ref="D537:F537"/>
    <mergeCell ref="D539:F539"/>
    <mergeCell ref="G539:H539"/>
    <mergeCell ref="I539:J539"/>
    <mergeCell ref="D535:F535"/>
    <mergeCell ref="G535:H535"/>
    <mergeCell ref="G538:H538"/>
    <mergeCell ref="I538:J538"/>
    <mergeCell ref="D494:E494"/>
    <mergeCell ref="F506:G506"/>
    <mergeCell ref="F478:G478"/>
    <mergeCell ref="F508:G508"/>
    <mergeCell ref="F509:G509"/>
    <mergeCell ref="F515:G515"/>
    <mergeCell ref="F507:G507"/>
    <mergeCell ref="H513:I513"/>
    <mergeCell ref="B443:C443"/>
    <mergeCell ref="B458:C458"/>
    <mergeCell ref="B425:C425"/>
    <mergeCell ref="B436:C436"/>
    <mergeCell ref="F429:G429"/>
    <mergeCell ref="J64:K64"/>
    <mergeCell ref="J65:K65"/>
    <mergeCell ref="J268:K268"/>
    <mergeCell ref="B490:C490"/>
    <mergeCell ref="D317:E317"/>
    <mergeCell ref="D466:E466"/>
    <mergeCell ref="B462:C462"/>
    <mergeCell ref="B459:C459"/>
    <mergeCell ref="L485:M485"/>
    <mergeCell ref="L488:M488"/>
    <mergeCell ref="L493:M493"/>
    <mergeCell ref="L494:M494"/>
    <mergeCell ref="L495:M495"/>
    <mergeCell ref="L505:M505"/>
    <mergeCell ref="L508:M508"/>
    <mergeCell ref="L509:M509"/>
    <mergeCell ref="L502:M502"/>
    <mergeCell ref="L503:M503"/>
    <mergeCell ref="J512:K512"/>
    <mergeCell ref="J513:K513"/>
    <mergeCell ref="J486:K486"/>
    <mergeCell ref="J505:K505"/>
    <mergeCell ref="L489:M489"/>
    <mergeCell ref="J491:K491"/>
    <mergeCell ref="L491:M491"/>
    <mergeCell ref="L492:M492"/>
    <mergeCell ref="J494:K494"/>
    <mergeCell ref="L496:M496"/>
    <mergeCell ref="J499:K499"/>
    <mergeCell ref="L497:M497"/>
    <mergeCell ref="L501:M501"/>
    <mergeCell ref="J492:K492"/>
    <mergeCell ref="D490:E490"/>
    <mergeCell ref="F490:G490"/>
    <mergeCell ref="H490:I490"/>
    <mergeCell ref="J490:K490"/>
    <mergeCell ref="D318:E318"/>
    <mergeCell ref="F318:G318"/>
    <mergeCell ref="H318:I318"/>
    <mergeCell ref="F476:G476"/>
    <mergeCell ref="F489:G489"/>
    <mergeCell ref="H472:I472"/>
    <mergeCell ref="H486:I486"/>
    <mergeCell ref="F486:G486"/>
    <mergeCell ref="B394:C394"/>
    <mergeCell ref="D393:E393"/>
    <mergeCell ref="D375:E375"/>
    <mergeCell ref="B470:C470"/>
    <mergeCell ref="D470:E470"/>
    <mergeCell ref="F470:G470"/>
    <mergeCell ref="H470:I470"/>
    <mergeCell ref="D373:E373"/>
    <mergeCell ref="H436:I436"/>
    <mergeCell ref="B452:C452"/>
    <mergeCell ref="D452:E452"/>
    <mergeCell ref="F452:G452"/>
    <mergeCell ref="B441:C441"/>
    <mergeCell ref="D441:E441"/>
    <mergeCell ref="F441:G441"/>
    <mergeCell ref="B486:C486"/>
    <mergeCell ref="J232:K232"/>
    <mergeCell ref="J233:K233"/>
    <mergeCell ref="J70:K70"/>
    <mergeCell ref="J71:K71"/>
    <mergeCell ref="J239:K239"/>
    <mergeCell ref="J240:K240"/>
    <mergeCell ref="J241:K241"/>
    <mergeCell ref="J242:K242"/>
    <mergeCell ref="J72:K72"/>
    <mergeCell ref="J73:K73"/>
    <mergeCell ref="J219:K219"/>
    <mergeCell ref="J222:K222"/>
    <mergeCell ref="J223:K223"/>
    <mergeCell ref="J224:K224"/>
    <mergeCell ref="J225:K225"/>
    <mergeCell ref="J226:K226"/>
    <mergeCell ref="J228:K228"/>
    <mergeCell ref="J236:K236"/>
    <mergeCell ref="J237:K237"/>
    <mergeCell ref="J81:K81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60:K60"/>
    <mergeCell ref="B265:C265"/>
    <mergeCell ref="B266:C266"/>
    <mergeCell ref="B267:C267"/>
    <mergeCell ref="B256:C256"/>
    <mergeCell ref="B257:C257"/>
    <mergeCell ref="B258:C258"/>
    <mergeCell ref="B259:C259"/>
    <mergeCell ref="B260:C260"/>
    <mergeCell ref="B261:C261"/>
    <mergeCell ref="B237:C237"/>
    <mergeCell ref="B238:C238"/>
    <mergeCell ref="B245:C245"/>
    <mergeCell ref="B246:C246"/>
    <mergeCell ref="B247:C247"/>
    <mergeCell ref="B248:C248"/>
    <mergeCell ref="B249:C249"/>
    <mergeCell ref="B242:C242"/>
    <mergeCell ref="B243:C243"/>
    <mergeCell ref="B250:C250"/>
    <mergeCell ref="B251:C251"/>
    <mergeCell ref="B234:C234"/>
    <mergeCell ref="B227:C227"/>
    <mergeCell ref="B228:C228"/>
    <mergeCell ref="B229:C229"/>
    <mergeCell ref="B230:C230"/>
    <mergeCell ref="J61:K61"/>
    <mergeCell ref="J62:K62"/>
    <mergeCell ref="J63:K63"/>
    <mergeCell ref="J74:K74"/>
    <mergeCell ref="B235:C235"/>
    <mergeCell ref="B236:C236"/>
    <mergeCell ref="B239:C239"/>
    <mergeCell ref="B240:C240"/>
    <mergeCell ref="B241:C241"/>
    <mergeCell ref="B262:C262"/>
    <mergeCell ref="B263:C263"/>
    <mergeCell ref="B264:C264"/>
    <mergeCell ref="J75:K75"/>
    <mergeCell ref="J66:K66"/>
    <mergeCell ref="J77:K77"/>
    <mergeCell ref="J78:K78"/>
    <mergeCell ref="J79:K79"/>
    <mergeCell ref="J86:K86"/>
    <mergeCell ref="J67:K67"/>
    <mergeCell ref="J68:K68"/>
    <mergeCell ref="J69:K69"/>
    <mergeCell ref="J229:K229"/>
    <mergeCell ref="J230:K230"/>
    <mergeCell ref="J231:K231"/>
    <mergeCell ref="J252:K252"/>
    <mergeCell ref="J253:K253"/>
    <mergeCell ref="J91:K91"/>
    <mergeCell ref="D226:E226"/>
    <mergeCell ref="F226:G226"/>
    <mergeCell ref="H235:I235"/>
    <mergeCell ref="D236:E236"/>
    <mergeCell ref="F236:G236"/>
    <mergeCell ref="H236:I236"/>
    <mergeCell ref="D237:E237"/>
    <mergeCell ref="F237:G237"/>
    <mergeCell ref="H237:I237"/>
    <mergeCell ref="H228:I228"/>
    <mergeCell ref="D229:E229"/>
    <mergeCell ref="F229:G229"/>
    <mergeCell ref="H229:I229"/>
    <mergeCell ref="D230:E230"/>
    <mergeCell ref="F230:G230"/>
    <mergeCell ref="H230:I230"/>
    <mergeCell ref="D231:E231"/>
    <mergeCell ref="F231:G231"/>
    <mergeCell ref="H231:I231"/>
    <mergeCell ref="D232:E232"/>
    <mergeCell ref="H232:I232"/>
    <mergeCell ref="D233:E233"/>
    <mergeCell ref="F232:G232"/>
    <mergeCell ref="D227:E227"/>
    <mergeCell ref="F227:G227"/>
    <mergeCell ref="H227:I227"/>
    <mergeCell ref="D228:E228"/>
    <mergeCell ref="F228:G228"/>
    <mergeCell ref="B298:C298"/>
    <mergeCell ref="B299:C299"/>
    <mergeCell ref="B304:C304"/>
    <mergeCell ref="B305:C305"/>
    <mergeCell ref="B300:C300"/>
    <mergeCell ref="B301:C301"/>
    <mergeCell ref="B302:C302"/>
    <mergeCell ref="B303:C303"/>
    <mergeCell ref="B295:C295"/>
    <mergeCell ref="B296:C296"/>
    <mergeCell ref="B297:C297"/>
    <mergeCell ref="D295:E295"/>
    <mergeCell ref="D296:E296"/>
    <mergeCell ref="B280:C280"/>
    <mergeCell ref="B281:C281"/>
    <mergeCell ref="B282:C282"/>
    <mergeCell ref="B283:C283"/>
    <mergeCell ref="B284:C284"/>
    <mergeCell ref="B285:C285"/>
    <mergeCell ref="D282:E282"/>
    <mergeCell ref="D297:E297"/>
    <mergeCell ref="D256:E256"/>
    <mergeCell ref="B244:C244"/>
    <mergeCell ref="F295:G295"/>
    <mergeCell ref="B286:C286"/>
    <mergeCell ref="B287:C287"/>
    <mergeCell ref="B288:C288"/>
    <mergeCell ref="B289:C289"/>
    <mergeCell ref="B290:C290"/>
    <mergeCell ref="B291:C291"/>
    <mergeCell ref="D286:E286"/>
    <mergeCell ref="F286:G286"/>
    <mergeCell ref="D287:E287"/>
    <mergeCell ref="F287:G287"/>
    <mergeCell ref="D288:E288"/>
    <mergeCell ref="F288:G288"/>
    <mergeCell ref="B292:C292"/>
    <mergeCell ref="B293:C293"/>
    <mergeCell ref="B294:C294"/>
    <mergeCell ref="B275:C275"/>
    <mergeCell ref="B276:C276"/>
    <mergeCell ref="B277:C277"/>
    <mergeCell ref="B278:C278"/>
    <mergeCell ref="B279:C279"/>
    <mergeCell ref="B268:C268"/>
    <mergeCell ref="F263:G263"/>
    <mergeCell ref="D271:E271"/>
    <mergeCell ref="F271:G271"/>
    <mergeCell ref="B252:C252"/>
    <mergeCell ref="B253:C253"/>
    <mergeCell ref="B254:C254"/>
    <mergeCell ref="B255:C255"/>
    <mergeCell ref="F274:G274"/>
    <mergeCell ref="H298:I298"/>
    <mergeCell ref="D304:E304"/>
    <mergeCell ref="F304:G304"/>
    <mergeCell ref="H304:I304"/>
    <mergeCell ref="D305:E305"/>
    <mergeCell ref="F305:G305"/>
    <mergeCell ref="H305:I305"/>
    <mergeCell ref="H301:I301"/>
    <mergeCell ref="D302:E302"/>
    <mergeCell ref="F302:G302"/>
    <mergeCell ref="H299:I299"/>
    <mergeCell ref="D300:E300"/>
    <mergeCell ref="F300:G300"/>
    <mergeCell ref="H300:I300"/>
    <mergeCell ref="D301:E301"/>
    <mergeCell ref="F301:G301"/>
    <mergeCell ref="D299:E299"/>
    <mergeCell ref="F299:G299"/>
    <mergeCell ref="D298:E298"/>
    <mergeCell ref="F298:G298"/>
    <mergeCell ref="B274:C274"/>
    <mergeCell ref="F269:G269"/>
    <mergeCell ref="H269:I269"/>
    <mergeCell ref="F297:G297"/>
    <mergeCell ref="H297:I297"/>
    <mergeCell ref="H295:I295"/>
    <mergeCell ref="D291:E291"/>
    <mergeCell ref="F291:G291"/>
    <mergeCell ref="H291:I291"/>
    <mergeCell ref="D292:E292"/>
    <mergeCell ref="F292:G292"/>
    <mergeCell ref="H292:I292"/>
    <mergeCell ref="D293:E293"/>
    <mergeCell ref="F293:G293"/>
    <mergeCell ref="H293:I293"/>
    <mergeCell ref="D294:E294"/>
    <mergeCell ref="F294:G294"/>
    <mergeCell ref="H294:I294"/>
    <mergeCell ref="D289:E289"/>
    <mergeCell ref="H289:I289"/>
    <mergeCell ref="F296:G296"/>
    <mergeCell ref="H296:I296"/>
    <mergeCell ref="B270:C270"/>
    <mergeCell ref="B271:C271"/>
    <mergeCell ref="B272:C272"/>
    <mergeCell ref="B273:C273"/>
    <mergeCell ref="H280:I280"/>
    <mergeCell ref="F289:G289"/>
    <mergeCell ref="B269:C269"/>
    <mergeCell ref="H290:I290"/>
    <mergeCell ref="D275:E275"/>
    <mergeCell ref="D268:E268"/>
    <mergeCell ref="H258:I258"/>
    <mergeCell ref="H261:I261"/>
    <mergeCell ref="D262:E262"/>
    <mergeCell ref="F262:G262"/>
    <mergeCell ref="D273:E273"/>
    <mergeCell ref="F273:G273"/>
    <mergeCell ref="H259:I259"/>
    <mergeCell ref="D246:E246"/>
    <mergeCell ref="F246:G246"/>
    <mergeCell ref="H246:I246"/>
    <mergeCell ref="H277:I277"/>
    <mergeCell ref="D278:E278"/>
    <mergeCell ref="F278:G278"/>
    <mergeCell ref="H278:I278"/>
    <mergeCell ref="D279:E279"/>
    <mergeCell ref="F279:G279"/>
    <mergeCell ref="H260:I260"/>
    <mergeCell ref="D261:E261"/>
    <mergeCell ref="F261:G261"/>
    <mergeCell ref="H274:I274"/>
    <mergeCell ref="D266:E266"/>
    <mergeCell ref="H272:I272"/>
    <mergeCell ref="D277:E277"/>
    <mergeCell ref="F277:G277"/>
    <mergeCell ref="D259:E259"/>
    <mergeCell ref="F259:G259"/>
    <mergeCell ref="H266:I266"/>
    <mergeCell ref="D267:E267"/>
    <mergeCell ref="F267:G267"/>
    <mergeCell ref="H267:I267"/>
    <mergeCell ref="D263:E263"/>
    <mergeCell ref="Q326:R326"/>
    <mergeCell ref="Q327:R327"/>
    <mergeCell ref="Q328:R328"/>
    <mergeCell ref="Q329:R329"/>
    <mergeCell ref="Q330:R330"/>
    <mergeCell ref="D270:E270"/>
    <mergeCell ref="F270:G270"/>
    <mergeCell ref="D272:E272"/>
    <mergeCell ref="F272:G272"/>
    <mergeCell ref="H279:I279"/>
    <mergeCell ref="H270:I270"/>
    <mergeCell ref="F280:G280"/>
    <mergeCell ref="F242:G242"/>
    <mergeCell ref="H242:I242"/>
    <mergeCell ref="D243:E243"/>
    <mergeCell ref="F243:G243"/>
    <mergeCell ref="H243:I243"/>
    <mergeCell ref="J264:K264"/>
    <mergeCell ref="J265:K265"/>
    <mergeCell ref="D250:E250"/>
    <mergeCell ref="F250:G250"/>
    <mergeCell ref="H250:I250"/>
    <mergeCell ref="D251:E251"/>
    <mergeCell ref="F251:G251"/>
    <mergeCell ref="H251:I251"/>
    <mergeCell ref="D252:E252"/>
    <mergeCell ref="F252:G252"/>
    <mergeCell ref="F254:G254"/>
    <mergeCell ref="F268:G268"/>
    <mergeCell ref="H268:I268"/>
    <mergeCell ref="D269:E269"/>
    <mergeCell ref="D245:E245"/>
    <mergeCell ref="D241:E241"/>
    <mergeCell ref="F241:G241"/>
    <mergeCell ref="H241:I241"/>
    <mergeCell ref="H254:I254"/>
    <mergeCell ref="D255:E255"/>
    <mergeCell ref="F255:G255"/>
    <mergeCell ref="H255:I255"/>
    <mergeCell ref="D264:E264"/>
    <mergeCell ref="F264:G264"/>
    <mergeCell ref="H264:I264"/>
    <mergeCell ref="D265:E265"/>
    <mergeCell ref="D260:E260"/>
    <mergeCell ref="F260:G260"/>
    <mergeCell ref="J251:K251"/>
    <mergeCell ref="F256:G256"/>
    <mergeCell ref="H256:I256"/>
    <mergeCell ref="H265:I265"/>
    <mergeCell ref="D242:E242"/>
    <mergeCell ref="D248:E248"/>
    <mergeCell ref="F248:G248"/>
    <mergeCell ref="H248:I248"/>
    <mergeCell ref="D249:E249"/>
    <mergeCell ref="F249:G249"/>
    <mergeCell ref="H249:I249"/>
    <mergeCell ref="D244:E244"/>
    <mergeCell ref="J263:K263"/>
    <mergeCell ref="F245:G245"/>
    <mergeCell ref="H245:I245"/>
    <mergeCell ref="F257:G257"/>
    <mergeCell ref="H257:I257"/>
    <mergeCell ref="D258:E258"/>
    <mergeCell ref="F258:G258"/>
    <mergeCell ref="D496:E496"/>
    <mergeCell ref="M900:N900"/>
    <mergeCell ref="G546:H546"/>
    <mergeCell ref="I546:J546"/>
    <mergeCell ref="C877:D877"/>
    <mergeCell ref="D510:E510"/>
    <mergeCell ref="F510:G510"/>
    <mergeCell ref="L515:M515"/>
    <mergeCell ref="C874:H874"/>
    <mergeCell ref="I875:J875"/>
    <mergeCell ref="B920:C920"/>
    <mergeCell ref="B512:C512"/>
    <mergeCell ref="D512:E512"/>
    <mergeCell ref="F512:G512"/>
    <mergeCell ref="L512:M512"/>
    <mergeCell ref="B499:C499"/>
    <mergeCell ref="D499:E499"/>
    <mergeCell ref="F499:G499"/>
    <mergeCell ref="L499:M499"/>
    <mergeCell ref="B808:D808"/>
    <mergeCell ref="B809:D809"/>
    <mergeCell ref="B810:D810"/>
    <mergeCell ref="D545:F545"/>
    <mergeCell ref="D543:F543"/>
    <mergeCell ref="D542:F542"/>
    <mergeCell ref="D541:F541"/>
    <mergeCell ref="J515:K515"/>
    <mergeCell ref="D855:E855"/>
    <mergeCell ref="D854:E854"/>
    <mergeCell ref="H498:I498"/>
    <mergeCell ref="J498:K498"/>
    <mergeCell ref="D507:E507"/>
    <mergeCell ref="N325:R325"/>
    <mergeCell ref="I537:J537"/>
    <mergeCell ref="B534:C539"/>
    <mergeCell ref="D538:F538"/>
    <mergeCell ref="B516:C516"/>
    <mergeCell ref="J510:K510"/>
    <mergeCell ref="L510:M510"/>
    <mergeCell ref="J489:K489"/>
    <mergeCell ref="J493:K493"/>
    <mergeCell ref="H494:I494"/>
    <mergeCell ref="B493:C493"/>
    <mergeCell ref="B504:C504"/>
    <mergeCell ref="D504:E504"/>
    <mergeCell ref="D487:E487"/>
    <mergeCell ref="H502:I502"/>
    <mergeCell ref="J502:K502"/>
    <mergeCell ref="H503:I503"/>
    <mergeCell ref="J503:K503"/>
    <mergeCell ref="B508:C508"/>
    <mergeCell ref="B509:C509"/>
    <mergeCell ref="H504:I504"/>
    <mergeCell ref="J504:K504"/>
    <mergeCell ref="F503:G503"/>
    <mergeCell ref="L511:M511"/>
    <mergeCell ref="L513:M513"/>
    <mergeCell ref="J514:K514"/>
    <mergeCell ref="D498:E498"/>
    <mergeCell ref="B479:C479"/>
    <mergeCell ref="D479:E479"/>
    <mergeCell ref="H478:I478"/>
    <mergeCell ref="F496:G496"/>
    <mergeCell ref="B802:D802"/>
    <mergeCell ref="B787:D787"/>
    <mergeCell ref="B788:D788"/>
    <mergeCell ref="B789:D789"/>
    <mergeCell ref="B790:D790"/>
    <mergeCell ref="B791:D791"/>
    <mergeCell ref="B792:D792"/>
    <mergeCell ref="J511:K511"/>
    <mergeCell ref="D851:E851"/>
    <mergeCell ref="B807:D807"/>
    <mergeCell ref="B753:D753"/>
    <mergeCell ref="B752:D752"/>
    <mergeCell ref="B751:D751"/>
    <mergeCell ref="B750:D750"/>
    <mergeCell ref="B749:D749"/>
    <mergeCell ref="B748:D748"/>
    <mergeCell ref="B728:D728"/>
    <mergeCell ref="B740:D740"/>
    <mergeCell ref="B739:D739"/>
    <mergeCell ref="B738:D738"/>
    <mergeCell ref="B737:D737"/>
    <mergeCell ref="B800:D800"/>
    <mergeCell ref="B824:C824"/>
    <mergeCell ref="D834:E834"/>
    <mergeCell ref="H515:I515"/>
    <mergeCell ref="H512:I512"/>
    <mergeCell ref="B515:C515"/>
    <mergeCell ref="D515:E515"/>
    <mergeCell ref="C710:D710"/>
    <mergeCell ref="G710:H710"/>
    <mergeCell ref="B775:D775"/>
    <mergeCell ref="B776:D776"/>
    <mergeCell ref="B777:D777"/>
    <mergeCell ref="B758:G758"/>
    <mergeCell ref="B759:D759"/>
    <mergeCell ref="F514:G514"/>
    <mergeCell ref="B760:D760"/>
    <mergeCell ref="B763:D763"/>
    <mergeCell ref="B766:D766"/>
    <mergeCell ref="B767:D767"/>
    <mergeCell ref="B768:D768"/>
    <mergeCell ref="B756:D756"/>
    <mergeCell ref="B762:D762"/>
    <mergeCell ref="B761:D761"/>
    <mergeCell ref="B764:D764"/>
    <mergeCell ref="B765:D765"/>
    <mergeCell ref="B755:D755"/>
    <mergeCell ref="B754:D754"/>
    <mergeCell ref="B769:D769"/>
    <mergeCell ref="B770:D770"/>
    <mergeCell ref="B771:D771"/>
    <mergeCell ref="B772:D772"/>
    <mergeCell ref="B514:C514"/>
    <mergeCell ref="B741:D741"/>
    <mergeCell ref="B732:D732"/>
    <mergeCell ref="B731:D731"/>
    <mergeCell ref="B730:D730"/>
    <mergeCell ref="B729:D729"/>
    <mergeCell ref="G537:H537"/>
    <mergeCell ref="B718:G718"/>
    <mergeCell ref="B727:D727"/>
    <mergeCell ref="B747:D747"/>
    <mergeCell ref="B746:D746"/>
    <mergeCell ref="B745:D745"/>
    <mergeCell ref="J478:K478"/>
    <mergeCell ref="H483:I483"/>
    <mergeCell ref="J483:K483"/>
    <mergeCell ref="H484:I484"/>
    <mergeCell ref="J484:K484"/>
    <mergeCell ref="J468:K468"/>
    <mergeCell ref="L468:M468"/>
    <mergeCell ref="L469:M469"/>
    <mergeCell ref="D483:E483"/>
    <mergeCell ref="D484:E484"/>
    <mergeCell ref="B471:C471"/>
    <mergeCell ref="D471:E471"/>
    <mergeCell ref="L472:M472"/>
    <mergeCell ref="J472:K472"/>
    <mergeCell ref="F471:G471"/>
    <mergeCell ref="D473:E473"/>
    <mergeCell ref="F473:G473"/>
    <mergeCell ref="H468:I468"/>
    <mergeCell ref="J473:K473"/>
    <mergeCell ref="L477:M477"/>
    <mergeCell ref="B480:C480"/>
    <mergeCell ref="B481:C481"/>
    <mergeCell ref="J482:K482"/>
    <mergeCell ref="L482:M482"/>
    <mergeCell ref="L478:M478"/>
    <mergeCell ref="L483:M483"/>
    <mergeCell ref="L484:M484"/>
    <mergeCell ref="B473:C473"/>
    <mergeCell ref="L481:M481"/>
    <mergeCell ref="L471:M471"/>
    <mergeCell ref="D477:E477"/>
    <mergeCell ref="B478:C478"/>
    <mergeCell ref="F493:G493"/>
    <mergeCell ref="F494:G494"/>
    <mergeCell ref="F495:G495"/>
    <mergeCell ref="B483:C483"/>
    <mergeCell ref="B725:D725"/>
    <mergeCell ref="B724:D724"/>
    <mergeCell ref="B723:D723"/>
    <mergeCell ref="B722:D722"/>
    <mergeCell ref="B721:D721"/>
    <mergeCell ref="B720:D720"/>
    <mergeCell ref="B773:D773"/>
    <mergeCell ref="B774:D774"/>
    <mergeCell ref="H488:I488"/>
    <mergeCell ref="L498:M498"/>
    <mergeCell ref="L504:M504"/>
    <mergeCell ref="L473:M473"/>
    <mergeCell ref="B511:C511"/>
    <mergeCell ref="B496:C496"/>
    <mergeCell ref="H496:I496"/>
    <mergeCell ref="J496:K496"/>
    <mergeCell ref="F513:G513"/>
    <mergeCell ref="L480:M480"/>
    <mergeCell ref="J485:K485"/>
    <mergeCell ref="L500:M500"/>
    <mergeCell ref="L479:M479"/>
    <mergeCell ref="H474:I474"/>
    <mergeCell ref="J474:K474"/>
    <mergeCell ref="D481:E481"/>
    <mergeCell ref="F481:G481"/>
    <mergeCell ref="L475:M475"/>
    <mergeCell ref="H487:I487"/>
    <mergeCell ref="B497:C497"/>
    <mergeCell ref="D497:E497"/>
    <mergeCell ref="F497:G497"/>
    <mergeCell ref="H497:I497"/>
    <mergeCell ref="J497:K497"/>
    <mergeCell ref="H473:I473"/>
    <mergeCell ref="B495:C495"/>
    <mergeCell ref="B498:C498"/>
    <mergeCell ref="L460:M460"/>
    <mergeCell ref="D433:E433"/>
    <mergeCell ref="F439:G439"/>
    <mergeCell ref="F438:G438"/>
    <mergeCell ref="L453:M453"/>
    <mergeCell ref="L452:M452"/>
    <mergeCell ref="L448:M448"/>
    <mergeCell ref="L445:M445"/>
    <mergeCell ref="J434:K434"/>
    <mergeCell ref="L486:M486"/>
    <mergeCell ref="B488:C488"/>
    <mergeCell ref="B484:C484"/>
    <mergeCell ref="B485:C485"/>
    <mergeCell ref="L442:M442"/>
    <mergeCell ref="H476:I476"/>
    <mergeCell ref="J476:K476"/>
    <mergeCell ref="F483:G483"/>
    <mergeCell ref="F484:G484"/>
    <mergeCell ref="F485:G485"/>
    <mergeCell ref="F488:G488"/>
    <mergeCell ref="B472:C472"/>
    <mergeCell ref="B474:C474"/>
    <mergeCell ref="D478:E478"/>
    <mergeCell ref="F492:G492"/>
    <mergeCell ref="F477:G477"/>
    <mergeCell ref="L466:M466"/>
    <mergeCell ref="L467:M467"/>
    <mergeCell ref="F460:G460"/>
    <mergeCell ref="J488:K488"/>
    <mergeCell ref="D500:E500"/>
    <mergeCell ref="F500:G500"/>
    <mergeCell ref="H500:I500"/>
    <mergeCell ref="J501:K501"/>
    <mergeCell ref="L459:M459"/>
    <mergeCell ref="L456:M456"/>
    <mergeCell ref="J467:K467"/>
    <mergeCell ref="F458:G458"/>
    <mergeCell ref="L487:M487"/>
    <mergeCell ref="F482:G482"/>
    <mergeCell ref="J459:K459"/>
    <mergeCell ref="H460:I460"/>
    <mergeCell ref="J460:K460"/>
    <mergeCell ref="J495:K495"/>
    <mergeCell ref="F457:G457"/>
    <mergeCell ref="D457:E457"/>
    <mergeCell ref="F472:G472"/>
    <mergeCell ref="H471:I471"/>
    <mergeCell ref="D472:E472"/>
    <mergeCell ref="D476:E476"/>
    <mergeCell ref="H495:I495"/>
    <mergeCell ref="F475:G475"/>
    <mergeCell ref="J487:K487"/>
    <mergeCell ref="D486:E486"/>
    <mergeCell ref="H485:I485"/>
    <mergeCell ref="D492:E492"/>
    <mergeCell ref="H492:I492"/>
    <mergeCell ref="D495:E495"/>
    <mergeCell ref="D449:E449"/>
    <mergeCell ref="D436:E436"/>
    <mergeCell ref="F436:G436"/>
    <mergeCell ref="B438:C438"/>
    <mergeCell ref="F449:G449"/>
    <mergeCell ref="H426:I426"/>
    <mergeCell ref="B430:C430"/>
    <mergeCell ref="D430:E430"/>
    <mergeCell ref="F430:G430"/>
    <mergeCell ref="H456:I456"/>
    <mergeCell ref="J458:K458"/>
    <mergeCell ref="H458:I458"/>
    <mergeCell ref="B456:C456"/>
    <mergeCell ref="D456:E456"/>
    <mergeCell ref="J447:K447"/>
    <mergeCell ref="H452:I452"/>
    <mergeCell ref="D451:E451"/>
    <mergeCell ref="F451:G451"/>
    <mergeCell ref="B450:C450"/>
    <mergeCell ref="D426:E426"/>
    <mergeCell ref="B429:C429"/>
    <mergeCell ref="D429:E429"/>
    <mergeCell ref="H429:I429"/>
    <mergeCell ref="B455:C455"/>
    <mergeCell ref="D453:E453"/>
    <mergeCell ref="F456:G456"/>
    <mergeCell ref="B435:C435"/>
    <mergeCell ref="D435:E435"/>
    <mergeCell ref="D439:E439"/>
    <mergeCell ref="B440:C440"/>
    <mergeCell ref="J426:K426"/>
    <mergeCell ref="D450:E450"/>
    <mergeCell ref="L441:M441"/>
    <mergeCell ref="L443:M443"/>
    <mergeCell ref="H419:I419"/>
    <mergeCell ref="J419:K419"/>
    <mergeCell ref="L428:M428"/>
    <mergeCell ref="L419:M419"/>
    <mergeCell ref="L420:M420"/>
    <mergeCell ref="L437:M437"/>
    <mergeCell ref="L430:M430"/>
    <mergeCell ref="L429:M429"/>
    <mergeCell ref="L426:M426"/>
    <mergeCell ref="B426:C426"/>
    <mergeCell ref="L439:M439"/>
    <mergeCell ref="F431:G431"/>
    <mergeCell ref="L436:M436"/>
    <mergeCell ref="D440:E440"/>
    <mergeCell ref="B442:C442"/>
    <mergeCell ref="D442:E442"/>
    <mergeCell ref="B424:C424"/>
    <mergeCell ref="D424:E424"/>
    <mergeCell ref="F424:G424"/>
    <mergeCell ref="H424:I424"/>
    <mergeCell ref="J428:K428"/>
    <mergeCell ref="H431:I431"/>
    <mergeCell ref="L423:M423"/>
    <mergeCell ref="J305:K305"/>
    <mergeCell ref="D391:E391"/>
    <mergeCell ref="F391:G391"/>
    <mergeCell ref="H391:I391"/>
    <mergeCell ref="J391:K391"/>
    <mergeCell ref="L391:M391"/>
    <mergeCell ref="B391:C391"/>
    <mergeCell ref="B402:C402"/>
    <mergeCell ref="D427:E427"/>
    <mergeCell ref="B395:C395"/>
    <mergeCell ref="D395:E395"/>
    <mergeCell ref="F401:G401"/>
    <mergeCell ref="D402:E402"/>
    <mergeCell ref="D405:E405"/>
    <mergeCell ref="B427:C427"/>
    <mergeCell ref="F400:G400"/>
    <mergeCell ref="D398:E398"/>
    <mergeCell ref="B417:C417"/>
    <mergeCell ref="F397:G397"/>
    <mergeCell ref="L417:M417"/>
    <mergeCell ref="L427:M427"/>
    <mergeCell ref="F425:G425"/>
    <mergeCell ref="F409:G409"/>
    <mergeCell ref="B413:C413"/>
    <mergeCell ref="B396:C396"/>
    <mergeCell ref="F415:G415"/>
    <mergeCell ref="H421:I421"/>
    <mergeCell ref="B419:C419"/>
    <mergeCell ref="B317:C317"/>
    <mergeCell ref="F317:G317"/>
    <mergeCell ref="H317:I317"/>
    <mergeCell ref="B318:C318"/>
    <mergeCell ref="Q347:R347"/>
    <mergeCell ref="Q348:R348"/>
    <mergeCell ref="B337:C337"/>
    <mergeCell ref="B338:C338"/>
    <mergeCell ref="B339:C339"/>
    <mergeCell ref="B350:C350"/>
    <mergeCell ref="G340:H340"/>
    <mergeCell ref="Q349:R349"/>
    <mergeCell ref="Q350:R350"/>
    <mergeCell ref="N346:R346"/>
    <mergeCell ref="F374:G374"/>
    <mergeCell ref="D392:E392"/>
    <mergeCell ref="F379:G379"/>
    <mergeCell ref="B380:C380"/>
    <mergeCell ref="D380:E380"/>
    <mergeCell ref="F380:G380"/>
    <mergeCell ref="B326:C326"/>
    <mergeCell ref="Q331:R331"/>
    <mergeCell ref="Q332:R332"/>
    <mergeCell ref="Q333:R333"/>
    <mergeCell ref="Q334:R334"/>
    <mergeCell ref="Q335:R335"/>
    <mergeCell ref="Q336:R336"/>
    <mergeCell ref="Q337:R337"/>
    <mergeCell ref="Q338:R338"/>
    <mergeCell ref="Q339:R339"/>
    <mergeCell ref="Q340:R340"/>
    <mergeCell ref="L335:M335"/>
    <mergeCell ref="B334:C334"/>
    <mergeCell ref="D376:E376"/>
    <mergeCell ref="L330:M330"/>
    <mergeCell ref="L331:M331"/>
    <mergeCell ref="F504:G504"/>
    <mergeCell ref="B744:D744"/>
    <mergeCell ref="H240:I240"/>
    <mergeCell ref="H244:I244"/>
    <mergeCell ref="J245:K245"/>
    <mergeCell ref="J246:K246"/>
    <mergeCell ref="J247:K247"/>
    <mergeCell ref="J248:K248"/>
    <mergeCell ref="J249:K249"/>
    <mergeCell ref="J250:K250"/>
    <mergeCell ref="B335:C335"/>
    <mergeCell ref="B364:M364"/>
    <mergeCell ref="L336:M336"/>
    <mergeCell ref="J388:K388"/>
    <mergeCell ref="H386:I386"/>
    <mergeCell ref="B376:C376"/>
    <mergeCell ref="B795:D795"/>
    <mergeCell ref="B743:D743"/>
    <mergeCell ref="B742:D742"/>
    <mergeCell ref="J260:K260"/>
    <mergeCell ref="J261:K261"/>
    <mergeCell ref="J288:K288"/>
    <mergeCell ref="J289:K289"/>
    <mergeCell ref="J290:K290"/>
    <mergeCell ref="J291:K291"/>
    <mergeCell ref="J292:K292"/>
    <mergeCell ref="J293:K293"/>
    <mergeCell ref="J294:K294"/>
    <mergeCell ref="J295:K295"/>
    <mergeCell ref="J296:K296"/>
    <mergeCell ref="J297:K297"/>
    <mergeCell ref="J298:K298"/>
    <mergeCell ref="B428:C428"/>
    <mergeCell ref="D419:E419"/>
    <mergeCell ref="D438:E438"/>
    <mergeCell ref="F426:G426"/>
    <mergeCell ref="F437:G437"/>
    <mergeCell ref="H437:I437"/>
    <mergeCell ref="H420:I420"/>
    <mergeCell ref="B449:C449"/>
    <mergeCell ref="D833:E833"/>
    <mergeCell ref="D832:E832"/>
    <mergeCell ref="D830:E830"/>
    <mergeCell ref="D831:E831"/>
    <mergeCell ref="D829:E829"/>
    <mergeCell ref="D828:E828"/>
    <mergeCell ref="D826:E826"/>
    <mergeCell ref="D825:E825"/>
    <mergeCell ref="D827:E827"/>
    <mergeCell ref="B815:D815"/>
    <mergeCell ref="B814:D814"/>
    <mergeCell ref="B798:D798"/>
    <mergeCell ref="B799:D799"/>
    <mergeCell ref="B801:D801"/>
    <mergeCell ref="B735:D735"/>
    <mergeCell ref="B734:D734"/>
    <mergeCell ref="B733:D733"/>
    <mergeCell ref="D533:F533"/>
    <mergeCell ref="D532:F532"/>
    <mergeCell ref="D531:F531"/>
    <mergeCell ref="D530:F530"/>
    <mergeCell ref="B503:C503"/>
    <mergeCell ref="B476:C476"/>
    <mergeCell ref="B489:C489"/>
    <mergeCell ref="B719:D719"/>
    <mergeCell ref="G706:H706"/>
    <mergeCell ref="C709:D709"/>
    <mergeCell ref="G709:H709"/>
    <mergeCell ref="C701:D701"/>
    <mergeCell ref="G701:H701"/>
    <mergeCell ref="B736:D736"/>
    <mergeCell ref="B384:C384"/>
    <mergeCell ref="B726:D726"/>
    <mergeCell ref="B315:C315"/>
    <mergeCell ref="D311:E311"/>
    <mergeCell ref="B316:C316"/>
    <mergeCell ref="F311:G311"/>
    <mergeCell ref="B311:C311"/>
    <mergeCell ref="F315:G315"/>
    <mergeCell ref="D315:E315"/>
    <mergeCell ref="D316:E316"/>
    <mergeCell ref="C695:D695"/>
    <mergeCell ref="G695:H695"/>
    <mergeCell ref="C672:D672"/>
    <mergeCell ref="G672:H672"/>
    <mergeCell ref="B560:C560"/>
    <mergeCell ref="B561:C561"/>
    <mergeCell ref="B562:C562"/>
    <mergeCell ref="B563:C563"/>
    <mergeCell ref="G607:H607"/>
    <mergeCell ref="B549:C549"/>
    <mergeCell ref="B583:C583"/>
    <mergeCell ref="B564:C564"/>
    <mergeCell ref="D527:F527"/>
    <mergeCell ref="B431:C431"/>
    <mergeCell ref="D431:E431"/>
    <mergeCell ref="C898:H898"/>
    <mergeCell ref="M875:N875"/>
    <mergeCell ref="M876:N876"/>
    <mergeCell ref="C875:D875"/>
    <mergeCell ref="E875:F875"/>
    <mergeCell ref="G875:H875"/>
    <mergeCell ref="C876:D876"/>
    <mergeCell ref="E876:F876"/>
    <mergeCell ref="G876:H876"/>
    <mergeCell ref="D844:E844"/>
    <mergeCell ref="D845:E845"/>
    <mergeCell ref="D846:E846"/>
    <mergeCell ref="B803:D803"/>
    <mergeCell ref="B804:D804"/>
    <mergeCell ref="B805:D805"/>
    <mergeCell ref="B806:D806"/>
    <mergeCell ref="B857:C857"/>
    <mergeCell ref="B897:N897"/>
    <mergeCell ref="K899:L899"/>
    <mergeCell ref="C901:D901"/>
    <mergeCell ref="E901:F901"/>
    <mergeCell ref="G901:H901"/>
    <mergeCell ref="I901:J901"/>
    <mergeCell ref="K901:L901"/>
    <mergeCell ref="K875:L875"/>
    <mergeCell ref="K876:L876"/>
    <mergeCell ref="B836:C836"/>
    <mergeCell ref="B837:C846"/>
    <mergeCell ref="D837:E837"/>
    <mergeCell ref="D838:E838"/>
    <mergeCell ref="D839:E839"/>
    <mergeCell ref="D840:E840"/>
    <mergeCell ref="D841:E841"/>
    <mergeCell ref="D842:E842"/>
    <mergeCell ref="D843:E843"/>
    <mergeCell ref="I874:N874"/>
    <mergeCell ref="E877:F877"/>
    <mergeCell ref="G877:H877"/>
    <mergeCell ref="I877:J877"/>
    <mergeCell ref="K877:L877"/>
    <mergeCell ref="C900:D900"/>
    <mergeCell ref="E900:F900"/>
    <mergeCell ref="G900:H900"/>
    <mergeCell ref="I900:J900"/>
    <mergeCell ref="B873:N873"/>
    <mergeCell ref="I898:N898"/>
    <mergeCell ref="D852:E852"/>
    <mergeCell ref="D853:E853"/>
    <mergeCell ref="K900:L900"/>
    <mergeCell ref="D850:E850"/>
    <mergeCell ref="M899:N899"/>
    <mergeCell ref="M901:N901"/>
    <mergeCell ref="B898:B899"/>
    <mergeCell ref="I876:J876"/>
    <mergeCell ref="B874:B875"/>
    <mergeCell ref="B848:C848"/>
    <mergeCell ref="D849:E849"/>
    <mergeCell ref="B793:D793"/>
    <mergeCell ref="B794:D794"/>
    <mergeCell ref="B778:D778"/>
    <mergeCell ref="B779:D779"/>
    <mergeCell ref="B780:D780"/>
    <mergeCell ref="B781:D781"/>
    <mergeCell ref="B782:D782"/>
    <mergeCell ref="B783:D783"/>
    <mergeCell ref="B784:D784"/>
    <mergeCell ref="B785:D785"/>
    <mergeCell ref="B786:D786"/>
    <mergeCell ref="B796:D796"/>
    <mergeCell ref="B797:D797"/>
    <mergeCell ref="B811:D811"/>
    <mergeCell ref="M877:N877"/>
    <mergeCell ref="B849:C855"/>
    <mergeCell ref="B812:D812"/>
    <mergeCell ref="B813:D813"/>
    <mergeCell ref="B816:D816"/>
    <mergeCell ref="B817:C817"/>
    <mergeCell ref="B825:C834"/>
    <mergeCell ref="C899:D899"/>
    <mergeCell ref="E899:F899"/>
    <mergeCell ref="G899:H899"/>
    <mergeCell ref="I899:J899"/>
    <mergeCell ref="I701:J701"/>
    <mergeCell ref="C696:D696"/>
    <mergeCell ref="G696:H696"/>
    <mergeCell ref="I696:J696"/>
    <mergeCell ref="C697:D697"/>
    <mergeCell ref="G697:H697"/>
    <mergeCell ref="I697:J697"/>
    <mergeCell ref="C698:D698"/>
    <mergeCell ref="G698:H698"/>
    <mergeCell ref="I698:J698"/>
    <mergeCell ref="I705:J705"/>
    <mergeCell ref="C708:D708"/>
    <mergeCell ref="G708:H708"/>
    <mergeCell ref="I708:J708"/>
    <mergeCell ref="C702:D702"/>
    <mergeCell ref="G702:H702"/>
    <mergeCell ref="I702:J702"/>
    <mergeCell ref="C703:D703"/>
    <mergeCell ref="G703:H703"/>
    <mergeCell ref="I703:J703"/>
    <mergeCell ref="C704:D704"/>
    <mergeCell ref="G704:H704"/>
    <mergeCell ref="I704:J704"/>
    <mergeCell ref="I707:J707"/>
    <mergeCell ref="G707:H707"/>
    <mergeCell ref="I706:J706"/>
    <mergeCell ref="C707:D707"/>
    <mergeCell ref="C706:D706"/>
    <mergeCell ref="C705:D705"/>
    <mergeCell ref="G705:H705"/>
    <mergeCell ref="I695:J695"/>
    <mergeCell ref="C690:D690"/>
    <mergeCell ref="G690:H690"/>
    <mergeCell ref="I690:J690"/>
    <mergeCell ref="C691:D691"/>
    <mergeCell ref="G691:H691"/>
    <mergeCell ref="I691:J691"/>
    <mergeCell ref="C692:D692"/>
    <mergeCell ref="G692:H692"/>
    <mergeCell ref="I692:J692"/>
    <mergeCell ref="C699:D699"/>
    <mergeCell ref="G699:H699"/>
    <mergeCell ref="I699:J699"/>
    <mergeCell ref="C700:D700"/>
    <mergeCell ref="G700:H700"/>
    <mergeCell ref="I700:J700"/>
    <mergeCell ref="I693:J693"/>
    <mergeCell ref="C694:D694"/>
    <mergeCell ref="G694:H694"/>
    <mergeCell ref="I694:J694"/>
    <mergeCell ref="C693:D693"/>
    <mergeCell ref="G693:H693"/>
    <mergeCell ref="I683:J683"/>
    <mergeCell ref="C684:D684"/>
    <mergeCell ref="G684:H684"/>
    <mergeCell ref="I684:J684"/>
    <mergeCell ref="C680:D680"/>
    <mergeCell ref="G680:H680"/>
    <mergeCell ref="I680:J680"/>
    <mergeCell ref="C681:D681"/>
    <mergeCell ref="G681:H681"/>
    <mergeCell ref="I681:J681"/>
    <mergeCell ref="C682:D682"/>
    <mergeCell ref="G682:H682"/>
    <mergeCell ref="I682:J682"/>
    <mergeCell ref="C688:D688"/>
    <mergeCell ref="G688:H688"/>
    <mergeCell ref="C689:D689"/>
    <mergeCell ref="G689:H689"/>
    <mergeCell ref="I689:J689"/>
    <mergeCell ref="C685:D685"/>
    <mergeCell ref="G685:H685"/>
    <mergeCell ref="I685:J685"/>
    <mergeCell ref="C686:D686"/>
    <mergeCell ref="G686:H686"/>
    <mergeCell ref="I686:J686"/>
    <mergeCell ref="C687:D687"/>
    <mergeCell ref="G687:H687"/>
    <mergeCell ref="I687:J687"/>
    <mergeCell ref="I688:J688"/>
    <mergeCell ref="C683:D683"/>
    <mergeCell ref="G683:H683"/>
    <mergeCell ref="I667:J667"/>
    <mergeCell ref="C668:D668"/>
    <mergeCell ref="G668:H668"/>
    <mergeCell ref="I668:J668"/>
    <mergeCell ref="C669:D669"/>
    <mergeCell ref="G669:H669"/>
    <mergeCell ref="I669:J669"/>
    <mergeCell ref="I676:J676"/>
    <mergeCell ref="G677:H677"/>
    <mergeCell ref="I677:J677"/>
    <mergeCell ref="G670:H670"/>
    <mergeCell ref="I670:J670"/>
    <mergeCell ref="I679:J679"/>
    <mergeCell ref="C667:D667"/>
    <mergeCell ref="G667:H667"/>
    <mergeCell ref="C678:D678"/>
    <mergeCell ref="G678:H678"/>
    <mergeCell ref="C670:D670"/>
    <mergeCell ref="C673:D673"/>
    <mergeCell ref="G673:H673"/>
    <mergeCell ref="I673:J673"/>
    <mergeCell ref="C674:D674"/>
    <mergeCell ref="G674:H674"/>
    <mergeCell ref="I674:J674"/>
    <mergeCell ref="C675:D675"/>
    <mergeCell ref="G675:H675"/>
    <mergeCell ref="I675:J675"/>
    <mergeCell ref="C671:D671"/>
    <mergeCell ref="G671:H671"/>
    <mergeCell ref="I671:J671"/>
    <mergeCell ref="G676:H676"/>
    <mergeCell ref="I678:J678"/>
    <mergeCell ref="I672:J672"/>
    <mergeCell ref="C677:D677"/>
    <mergeCell ref="I633:J633"/>
    <mergeCell ref="I632:J632"/>
    <mergeCell ref="B649:B650"/>
    <mergeCell ref="C666:D666"/>
    <mergeCell ref="I662:J662"/>
    <mergeCell ref="C663:D663"/>
    <mergeCell ref="G663:H663"/>
    <mergeCell ref="I663:J663"/>
    <mergeCell ref="G658:H658"/>
    <mergeCell ref="I658:J658"/>
    <mergeCell ref="I656:J656"/>
    <mergeCell ref="C658:D658"/>
    <mergeCell ref="I664:J664"/>
    <mergeCell ref="C665:D665"/>
    <mergeCell ref="G665:H665"/>
    <mergeCell ref="I665:J665"/>
    <mergeCell ref="C659:D659"/>
    <mergeCell ref="G659:H659"/>
    <mergeCell ref="I659:J659"/>
    <mergeCell ref="C660:D660"/>
    <mergeCell ref="C657:D657"/>
    <mergeCell ref="G657:H657"/>
    <mergeCell ref="G651:H651"/>
    <mergeCell ref="I651:J651"/>
    <mergeCell ref="C652:D652"/>
    <mergeCell ref="G652:H652"/>
    <mergeCell ref="I652:J652"/>
    <mergeCell ref="C655:D655"/>
    <mergeCell ref="G666:H666"/>
    <mergeCell ref="I636:J636"/>
    <mergeCell ref="I660:J660"/>
    <mergeCell ref="C662:D662"/>
    <mergeCell ref="G662:H662"/>
    <mergeCell ref="I653:J653"/>
    <mergeCell ref="C664:D664"/>
    <mergeCell ref="G664:H664"/>
    <mergeCell ref="I666:J666"/>
    <mergeCell ref="C661:D661"/>
    <mergeCell ref="G661:H661"/>
    <mergeCell ref="I661:J661"/>
    <mergeCell ref="G638:H638"/>
    <mergeCell ref="G643:H643"/>
    <mergeCell ref="C637:D637"/>
    <mergeCell ref="I657:J657"/>
    <mergeCell ref="C656:D656"/>
    <mergeCell ref="G656:H656"/>
    <mergeCell ref="C653:D653"/>
    <mergeCell ref="G653:H653"/>
    <mergeCell ref="G637:H637"/>
    <mergeCell ref="C641:D641"/>
    <mergeCell ref="G660:H660"/>
    <mergeCell ref="C639:D639"/>
    <mergeCell ref="G639:H639"/>
    <mergeCell ref="C651:D651"/>
    <mergeCell ref="I654:J654"/>
    <mergeCell ref="G640:H640"/>
    <mergeCell ref="I640:J640"/>
    <mergeCell ref="I655:J655"/>
    <mergeCell ref="I637:J637"/>
    <mergeCell ref="I642:J642"/>
    <mergeCell ref="G604:H605"/>
    <mergeCell ref="G613:H613"/>
    <mergeCell ref="C611:D611"/>
    <mergeCell ref="G644:H644"/>
    <mergeCell ref="C634:D634"/>
    <mergeCell ref="C633:D633"/>
    <mergeCell ref="C632:D632"/>
    <mergeCell ref="I615:J615"/>
    <mergeCell ref="I614:J614"/>
    <mergeCell ref="I621:J621"/>
    <mergeCell ref="I631:J631"/>
    <mergeCell ref="I624:J624"/>
    <mergeCell ref="G621:H621"/>
    <mergeCell ref="G625:H625"/>
    <mergeCell ref="I610:J610"/>
    <mergeCell ref="B585:C585"/>
    <mergeCell ref="B586:C586"/>
    <mergeCell ref="C624:D624"/>
    <mergeCell ref="C623:D623"/>
    <mergeCell ref="I619:J619"/>
    <mergeCell ref="I618:J618"/>
    <mergeCell ref="I617:J617"/>
    <mergeCell ref="S650:T650"/>
    <mergeCell ref="U650:V650"/>
    <mergeCell ref="I641:J641"/>
    <mergeCell ref="C644:D644"/>
    <mergeCell ref="C617:D617"/>
    <mergeCell ref="C604:D605"/>
    <mergeCell ref="I635:J635"/>
    <mergeCell ref="I634:J634"/>
    <mergeCell ref="C643:D643"/>
    <mergeCell ref="G641:H641"/>
    <mergeCell ref="F604:F605"/>
    <mergeCell ref="C606:D606"/>
    <mergeCell ref="G606:H606"/>
    <mergeCell ref="Q605:R605"/>
    <mergeCell ref="B604:B605"/>
    <mergeCell ref="G612:H612"/>
    <mergeCell ref="E604:E605"/>
    <mergeCell ref="B575:C575"/>
    <mergeCell ref="B576:C576"/>
    <mergeCell ref="I613:J613"/>
    <mergeCell ref="I612:J612"/>
    <mergeCell ref="I611:J611"/>
    <mergeCell ref="I638:J638"/>
    <mergeCell ref="C638:D638"/>
    <mergeCell ref="K649:V649"/>
    <mergeCell ref="K650:L650"/>
    <mergeCell ref="E649:E650"/>
    <mergeCell ref="F649:F650"/>
    <mergeCell ref="M650:N650"/>
    <mergeCell ref="O650:P650"/>
    <mergeCell ref="Q650:R650"/>
    <mergeCell ref="M605:N605"/>
    <mergeCell ref="U605:V605"/>
    <mergeCell ref="S605:T605"/>
    <mergeCell ref="I625:J625"/>
    <mergeCell ref="C622:D622"/>
    <mergeCell ref="C621:D621"/>
    <mergeCell ref="C620:D620"/>
    <mergeCell ref="C631:D631"/>
    <mergeCell ref="C630:D630"/>
    <mergeCell ref="C629:D629"/>
    <mergeCell ref="I623:J623"/>
    <mergeCell ref="B566:C566"/>
    <mergeCell ref="B567:C567"/>
    <mergeCell ref="I543:J543"/>
    <mergeCell ref="B568:C568"/>
    <mergeCell ref="B569:C569"/>
    <mergeCell ref="B587:C587"/>
    <mergeCell ref="B588:C588"/>
    <mergeCell ref="B590:C590"/>
    <mergeCell ref="C613:D613"/>
    <mergeCell ref="C612:D612"/>
    <mergeCell ref="B581:C581"/>
    <mergeCell ref="B582:C582"/>
    <mergeCell ref="B591:C591"/>
    <mergeCell ref="B603:V603"/>
    <mergeCell ref="B577:C577"/>
    <mergeCell ref="C610:D610"/>
    <mergeCell ref="C609:D609"/>
    <mergeCell ref="C608:D608"/>
    <mergeCell ref="C607:D607"/>
    <mergeCell ref="G610:H610"/>
    <mergeCell ref="B592:C592"/>
    <mergeCell ref="B593:C593"/>
    <mergeCell ref="B594:C594"/>
    <mergeCell ref="O605:P605"/>
    <mergeCell ref="B589:C589"/>
    <mergeCell ref="I609:J609"/>
    <mergeCell ref="I608:J608"/>
    <mergeCell ref="B595:C595"/>
    <mergeCell ref="B596:C596"/>
    <mergeCell ref="B597:C597"/>
    <mergeCell ref="B584:C584"/>
    <mergeCell ref="B598:C598"/>
    <mergeCell ref="D511:E511"/>
    <mergeCell ref="F511:G511"/>
    <mergeCell ref="H510:I510"/>
    <mergeCell ref="B513:C513"/>
    <mergeCell ref="D544:F544"/>
    <mergeCell ref="B565:C565"/>
    <mergeCell ref="I548:J548"/>
    <mergeCell ref="I547:J547"/>
    <mergeCell ref="B554:C554"/>
    <mergeCell ref="B555:C555"/>
    <mergeCell ref="B556:C556"/>
    <mergeCell ref="H514:I514"/>
    <mergeCell ref="D513:E513"/>
    <mergeCell ref="D540:F540"/>
    <mergeCell ref="G534:H534"/>
    <mergeCell ref="G532:H532"/>
    <mergeCell ref="D514:E514"/>
    <mergeCell ref="G541:H541"/>
    <mergeCell ref="G531:H531"/>
    <mergeCell ref="G540:H540"/>
    <mergeCell ref="B526:C526"/>
    <mergeCell ref="B527:C533"/>
    <mergeCell ref="I544:J544"/>
    <mergeCell ref="H511:I511"/>
    <mergeCell ref="H489:I489"/>
    <mergeCell ref="H482:I482"/>
    <mergeCell ref="J500:K500"/>
    <mergeCell ref="J456:K456"/>
    <mergeCell ref="F487:G487"/>
    <mergeCell ref="D488:E488"/>
    <mergeCell ref="D493:E493"/>
    <mergeCell ref="D454:E454"/>
    <mergeCell ref="F454:G454"/>
    <mergeCell ref="H499:I499"/>
    <mergeCell ref="D455:E455"/>
    <mergeCell ref="D458:E458"/>
    <mergeCell ref="F505:G505"/>
    <mergeCell ref="H455:I455"/>
    <mergeCell ref="J455:K455"/>
    <mergeCell ref="J454:K454"/>
    <mergeCell ref="D489:E489"/>
    <mergeCell ref="F461:G461"/>
    <mergeCell ref="D467:E467"/>
    <mergeCell ref="H491:I491"/>
    <mergeCell ref="H493:I493"/>
    <mergeCell ref="F479:G479"/>
    <mergeCell ref="H479:I479"/>
    <mergeCell ref="J479:K479"/>
    <mergeCell ref="F466:G466"/>
    <mergeCell ref="F480:G480"/>
    <mergeCell ref="D480:E480"/>
    <mergeCell ref="J480:K480"/>
    <mergeCell ref="D502:E502"/>
    <mergeCell ref="D474:E474"/>
    <mergeCell ref="D462:E462"/>
    <mergeCell ref="D461:E461"/>
    <mergeCell ref="H415:I415"/>
    <mergeCell ref="D410:E410"/>
    <mergeCell ref="F410:G410"/>
    <mergeCell ref="B388:C388"/>
    <mergeCell ref="B378:C378"/>
    <mergeCell ref="B377:C377"/>
    <mergeCell ref="D388:E388"/>
    <mergeCell ref="D384:E384"/>
    <mergeCell ref="D401:E401"/>
    <mergeCell ref="D387:E387"/>
    <mergeCell ref="D390:E390"/>
    <mergeCell ref="F384:G384"/>
    <mergeCell ref="B373:C373"/>
    <mergeCell ref="D366:E366"/>
    <mergeCell ref="F395:G395"/>
    <mergeCell ref="L394:M394"/>
    <mergeCell ref="H409:I409"/>
    <mergeCell ref="J409:K409"/>
    <mergeCell ref="H410:I410"/>
    <mergeCell ref="J410:K410"/>
    <mergeCell ref="L409:M409"/>
    <mergeCell ref="L384:M384"/>
    <mergeCell ref="B368:C368"/>
    <mergeCell ref="B389:C389"/>
    <mergeCell ref="D383:E383"/>
    <mergeCell ref="F377:G377"/>
    <mergeCell ref="F388:G388"/>
    <mergeCell ref="F386:G386"/>
    <mergeCell ref="B386:C386"/>
    <mergeCell ref="B385:C385"/>
    <mergeCell ref="G339:H339"/>
    <mergeCell ref="B340:C340"/>
    <mergeCell ref="D378:E378"/>
    <mergeCell ref="D377:E377"/>
    <mergeCell ref="B372:C372"/>
    <mergeCell ref="B371:C371"/>
    <mergeCell ref="G355:H355"/>
    <mergeCell ref="F371:G371"/>
    <mergeCell ref="B381:C381"/>
    <mergeCell ref="B379:C379"/>
    <mergeCell ref="B374:C374"/>
    <mergeCell ref="B383:C383"/>
    <mergeCell ref="F406:G406"/>
    <mergeCell ref="F394:G394"/>
    <mergeCell ref="F392:G392"/>
    <mergeCell ref="F393:G393"/>
    <mergeCell ref="B382:C382"/>
    <mergeCell ref="D404:E404"/>
    <mergeCell ref="F396:G396"/>
    <mergeCell ref="B399:C399"/>
    <mergeCell ref="B341:C341"/>
    <mergeCell ref="F387:G387"/>
    <mergeCell ref="D368:E368"/>
    <mergeCell ref="B370:C370"/>
    <mergeCell ref="B358:C358"/>
    <mergeCell ref="D374:E374"/>
    <mergeCell ref="D372:E372"/>
    <mergeCell ref="F405:G405"/>
    <mergeCell ref="F368:G368"/>
    <mergeCell ref="F378:G378"/>
    <mergeCell ref="F382:G382"/>
    <mergeCell ref="L378:M378"/>
    <mergeCell ref="L376:M376"/>
    <mergeCell ref="A522:A523"/>
    <mergeCell ref="B347:C347"/>
    <mergeCell ref="B348:C348"/>
    <mergeCell ref="B398:C398"/>
    <mergeCell ref="B397:C397"/>
    <mergeCell ref="B404:C404"/>
    <mergeCell ref="B392:C392"/>
    <mergeCell ref="B393:C393"/>
    <mergeCell ref="B375:C375"/>
    <mergeCell ref="F389:G389"/>
    <mergeCell ref="D386:E386"/>
    <mergeCell ref="B351:C351"/>
    <mergeCell ref="B352:C352"/>
    <mergeCell ref="B353:C353"/>
    <mergeCell ref="D371:E371"/>
    <mergeCell ref="B354:C354"/>
    <mergeCell ref="F376:G376"/>
    <mergeCell ref="B355:C355"/>
    <mergeCell ref="F447:G447"/>
    <mergeCell ref="F446:G446"/>
    <mergeCell ref="F440:G440"/>
    <mergeCell ref="F498:G498"/>
    <mergeCell ref="G358:H358"/>
    <mergeCell ref="H480:I480"/>
    <mergeCell ref="H467:I467"/>
    <mergeCell ref="B420:C420"/>
    <mergeCell ref="F462:G462"/>
    <mergeCell ref="B463:C463"/>
    <mergeCell ref="D463:E463"/>
    <mergeCell ref="B356:C356"/>
    <mergeCell ref="D416:E416"/>
    <mergeCell ref="D415:E415"/>
    <mergeCell ref="L367:M367"/>
    <mergeCell ref="L368:M368"/>
    <mergeCell ref="L369:M369"/>
    <mergeCell ref="L370:M370"/>
    <mergeCell ref="L373:M373"/>
    <mergeCell ref="L386:M386"/>
    <mergeCell ref="L396:M396"/>
    <mergeCell ref="L397:M397"/>
    <mergeCell ref="L398:M398"/>
    <mergeCell ref="L404:M404"/>
    <mergeCell ref="L375:M375"/>
    <mergeCell ref="L406:M406"/>
    <mergeCell ref="L450:M450"/>
    <mergeCell ref="L421:M421"/>
    <mergeCell ref="L434:M434"/>
    <mergeCell ref="L405:M405"/>
    <mergeCell ref="L389:M389"/>
    <mergeCell ref="L413:M413"/>
    <mergeCell ref="L440:M440"/>
    <mergeCell ref="L447:M447"/>
    <mergeCell ref="L372:M372"/>
    <mergeCell ref="L374:M374"/>
    <mergeCell ref="L392:M392"/>
    <mergeCell ref="L393:M393"/>
    <mergeCell ref="L388:M388"/>
    <mergeCell ref="L382:M382"/>
    <mergeCell ref="L379:M379"/>
    <mergeCell ref="L380:M380"/>
    <mergeCell ref="L381:M381"/>
    <mergeCell ref="L377:M377"/>
    <mergeCell ref="H416:I416"/>
    <mergeCell ref="D446:E446"/>
    <mergeCell ref="D437:E437"/>
    <mergeCell ref="J416:K416"/>
    <mergeCell ref="J412:K412"/>
    <mergeCell ref="H413:I413"/>
    <mergeCell ref="J413:K413"/>
    <mergeCell ref="H414:I414"/>
    <mergeCell ref="H387:I387"/>
    <mergeCell ref="J387:K387"/>
    <mergeCell ref="F412:G412"/>
    <mergeCell ref="D413:E413"/>
    <mergeCell ref="D396:E396"/>
    <mergeCell ref="D412:E412"/>
    <mergeCell ref="D425:E425"/>
    <mergeCell ref="J385:K385"/>
    <mergeCell ref="H384:I384"/>
    <mergeCell ref="H390:I390"/>
    <mergeCell ref="J386:K386"/>
    <mergeCell ref="J394:K394"/>
    <mergeCell ref="J395:K395"/>
    <mergeCell ref="F442:G442"/>
    <mergeCell ref="F422:G422"/>
    <mergeCell ref="F427:G427"/>
    <mergeCell ref="D414:E414"/>
    <mergeCell ref="D417:E417"/>
    <mergeCell ref="F417:G417"/>
    <mergeCell ref="D422:E422"/>
    <mergeCell ref="D385:E385"/>
    <mergeCell ref="J402:K402"/>
    <mergeCell ref="J414:K414"/>
    <mergeCell ref="F421:G421"/>
    <mergeCell ref="B460:C460"/>
    <mergeCell ref="B454:C454"/>
    <mergeCell ref="F444:G444"/>
    <mergeCell ref="F433:G433"/>
    <mergeCell ref="L415:M415"/>
    <mergeCell ref="L422:M422"/>
    <mergeCell ref="J429:K429"/>
    <mergeCell ref="H432:I432"/>
    <mergeCell ref="J432:K432"/>
    <mergeCell ref="H433:I433"/>
    <mergeCell ref="J417:K417"/>
    <mergeCell ref="H418:I418"/>
    <mergeCell ref="J418:K418"/>
    <mergeCell ref="H423:I423"/>
    <mergeCell ref="J423:K423"/>
    <mergeCell ref="H427:I427"/>
    <mergeCell ref="J427:K427"/>
    <mergeCell ref="L435:M435"/>
    <mergeCell ref="L446:M446"/>
    <mergeCell ref="L458:M458"/>
    <mergeCell ref="H454:I454"/>
    <mergeCell ref="H450:I450"/>
    <mergeCell ref="J450:K450"/>
    <mergeCell ref="H451:I451"/>
    <mergeCell ref="J451:K451"/>
    <mergeCell ref="H457:I457"/>
    <mergeCell ref="B432:C432"/>
    <mergeCell ref="B433:C433"/>
    <mergeCell ref="B415:C415"/>
    <mergeCell ref="J433:K433"/>
    <mergeCell ref="L425:M425"/>
    <mergeCell ref="J437:K437"/>
    <mergeCell ref="L455:M455"/>
    <mergeCell ref="J457:K457"/>
    <mergeCell ref="H446:I446"/>
    <mergeCell ref="H447:I447"/>
    <mergeCell ref="L433:M433"/>
    <mergeCell ref="L431:M431"/>
    <mergeCell ref="H425:I425"/>
    <mergeCell ref="J425:K425"/>
    <mergeCell ref="H445:I445"/>
    <mergeCell ref="L451:M451"/>
    <mergeCell ref="B418:C418"/>
    <mergeCell ref="B437:C437"/>
    <mergeCell ref="B411:C411"/>
    <mergeCell ref="B390:C390"/>
    <mergeCell ref="H63:I63"/>
    <mergeCell ref="B66:C66"/>
    <mergeCell ref="D66:E66"/>
    <mergeCell ref="F66:G66"/>
    <mergeCell ref="H66:I66"/>
    <mergeCell ref="H65:I65"/>
    <mergeCell ref="L402:M402"/>
    <mergeCell ref="L411:M411"/>
    <mergeCell ref="L432:M432"/>
    <mergeCell ref="L438:M438"/>
    <mergeCell ref="D74:E74"/>
    <mergeCell ref="F74:G74"/>
    <mergeCell ref="H73:I73"/>
    <mergeCell ref="B76:C76"/>
    <mergeCell ref="B91:C91"/>
    <mergeCell ref="B92:C92"/>
    <mergeCell ref="D92:E92"/>
    <mergeCell ref="B223:C223"/>
    <mergeCell ref="F467:G467"/>
    <mergeCell ref="D529:F529"/>
    <mergeCell ref="D528:F528"/>
    <mergeCell ref="H509:I509"/>
    <mergeCell ref="F416:G416"/>
    <mergeCell ref="F404:G404"/>
    <mergeCell ref="F423:G423"/>
    <mergeCell ref="B401:C401"/>
    <mergeCell ref="D399:E399"/>
    <mergeCell ref="B387:C387"/>
    <mergeCell ref="D485:E485"/>
    <mergeCell ref="D418:E418"/>
    <mergeCell ref="B446:C446"/>
    <mergeCell ref="H430:I430"/>
    <mergeCell ref="F435:G435"/>
    <mergeCell ref="B422:C422"/>
    <mergeCell ref="D448:E448"/>
    <mergeCell ref="F448:G448"/>
    <mergeCell ref="B445:C445"/>
    <mergeCell ref="B414:C414"/>
    <mergeCell ref="B400:C400"/>
    <mergeCell ref="B416:C416"/>
    <mergeCell ref="B439:C439"/>
    <mergeCell ref="F418:G418"/>
    <mergeCell ref="H453:I453"/>
    <mergeCell ref="B465:M465"/>
    <mergeCell ref="J466:K466"/>
    <mergeCell ref="D428:E428"/>
    <mergeCell ref="F428:G428"/>
    <mergeCell ref="D420:E420"/>
    <mergeCell ref="F420:G420"/>
    <mergeCell ref="B434:C434"/>
    <mergeCell ref="J415:K415"/>
    <mergeCell ref="D432:E432"/>
    <mergeCell ref="F432:G432"/>
    <mergeCell ref="F450:G450"/>
    <mergeCell ref="F390:G390"/>
    <mergeCell ref="F45:G45"/>
    <mergeCell ref="B43:C43"/>
    <mergeCell ref="B59:C59"/>
    <mergeCell ref="D59:E59"/>
    <mergeCell ref="D45:E45"/>
    <mergeCell ref="B53:C53"/>
    <mergeCell ref="D53:E53"/>
    <mergeCell ref="F53:G53"/>
    <mergeCell ref="H53:I53"/>
    <mergeCell ref="B421:C421"/>
    <mergeCell ref="D421:E421"/>
    <mergeCell ref="D389:E389"/>
    <mergeCell ref="B44:C44"/>
    <mergeCell ref="B45:C45"/>
    <mergeCell ref="H43:I43"/>
    <mergeCell ref="H47:I47"/>
    <mergeCell ref="H46:I46"/>
    <mergeCell ref="H45:I45"/>
    <mergeCell ref="G338:H338"/>
    <mergeCell ref="D64:E64"/>
    <mergeCell ref="F64:G64"/>
    <mergeCell ref="H64:I64"/>
    <mergeCell ref="D411:E411"/>
    <mergeCell ref="D382:E382"/>
    <mergeCell ref="D403:E403"/>
    <mergeCell ref="H405:I405"/>
    <mergeCell ref="F65:G65"/>
    <mergeCell ref="L444:M444"/>
    <mergeCell ref="B405:C405"/>
    <mergeCell ref="D397:E397"/>
    <mergeCell ref="F413:G413"/>
    <mergeCell ref="F398:G398"/>
    <mergeCell ref="F419:G419"/>
    <mergeCell ref="F414:G414"/>
    <mergeCell ref="F369:G369"/>
    <mergeCell ref="F370:G370"/>
    <mergeCell ref="F59:G59"/>
    <mergeCell ref="H59:I59"/>
    <mergeCell ref="B60:C60"/>
    <mergeCell ref="D60:E60"/>
    <mergeCell ref="F367:G367"/>
    <mergeCell ref="B369:C369"/>
    <mergeCell ref="D69:E69"/>
    <mergeCell ref="F54:G54"/>
    <mergeCell ref="D409:E409"/>
    <mergeCell ref="F403:G403"/>
    <mergeCell ref="J367:K367"/>
    <mergeCell ref="F68:G68"/>
    <mergeCell ref="F373:G373"/>
    <mergeCell ref="F411:G411"/>
    <mergeCell ref="D319:E319"/>
    <mergeCell ref="D325:H325"/>
    <mergeCell ref="G326:H326"/>
    <mergeCell ref="H389:I389"/>
    <mergeCell ref="D406:E406"/>
    <mergeCell ref="D394:E394"/>
    <mergeCell ref="D400:E400"/>
    <mergeCell ref="G336:H336"/>
    <mergeCell ref="G333:H333"/>
    <mergeCell ref="H381:I381"/>
    <mergeCell ref="D238:E238"/>
    <mergeCell ref="D15:E15"/>
    <mergeCell ref="D14:E14"/>
    <mergeCell ref="F14:G14"/>
    <mergeCell ref="F16:G16"/>
    <mergeCell ref="F15:G15"/>
    <mergeCell ref="F23:G23"/>
    <mergeCell ref="F24:G24"/>
    <mergeCell ref="B20:C20"/>
    <mergeCell ref="F385:G385"/>
    <mergeCell ref="B29:C29"/>
    <mergeCell ref="D29:E29"/>
    <mergeCell ref="F29:G29"/>
    <mergeCell ref="B25:C25"/>
    <mergeCell ref="D25:E25"/>
    <mergeCell ref="F18:G18"/>
    <mergeCell ref="D24:E24"/>
    <mergeCell ref="F17:G17"/>
    <mergeCell ref="B18:C18"/>
    <mergeCell ref="F39:G39"/>
    <mergeCell ref="F38:G38"/>
    <mergeCell ref="D20:E20"/>
    <mergeCell ref="F43:G43"/>
    <mergeCell ref="B42:I42"/>
    <mergeCell ref="H29:I29"/>
    <mergeCell ref="H57:I57"/>
    <mergeCell ref="H311:I311"/>
    <mergeCell ref="H315:I315"/>
    <mergeCell ref="F383:G383"/>
    <mergeCell ref="B357:C357"/>
    <mergeCell ref="B359:C359"/>
    <mergeCell ref="B69:C69"/>
    <mergeCell ref="H52:I52"/>
    <mergeCell ref="B423:C423"/>
    <mergeCell ref="D423:E423"/>
    <mergeCell ref="B367:C367"/>
    <mergeCell ref="H401:I401"/>
    <mergeCell ref="J401:K401"/>
    <mergeCell ref="F399:G399"/>
    <mergeCell ref="D434:E434"/>
    <mergeCell ref="F434:G434"/>
    <mergeCell ref="B412:C412"/>
    <mergeCell ref="J384:K384"/>
    <mergeCell ref="H388:I388"/>
    <mergeCell ref="D46:E46"/>
    <mergeCell ref="D47:E47"/>
    <mergeCell ref="H54:I54"/>
    <mergeCell ref="F79:G79"/>
    <mergeCell ref="D65:E65"/>
    <mergeCell ref="G329:H329"/>
    <mergeCell ref="D223:E223"/>
    <mergeCell ref="F223:G223"/>
    <mergeCell ref="H223:I223"/>
    <mergeCell ref="H221:I221"/>
    <mergeCell ref="F375:G375"/>
    <mergeCell ref="F92:G92"/>
    <mergeCell ref="H92:I92"/>
    <mergeCell ref="D67:E67"/>
    <mergeCell ref="D71:E71"/>
    <mergeCell ref="F71:G71"/>
    <mergeCell ref="G327:H327"/>
    <mergeCell ref="F76:G76"/>
    <mergeCell ref="H76:I76"/>
    <mergeCell ref="H14:I14"/>
    <mergeCell ref="H15:I15"/>
    <mergeCell ref="H16:I16"/>
    <mergeCell ref="H17:I17"/>
    <mergeCell ref="B17:C17"/>
    <mergeCell ref="B63:C63"/>
    <mergeCell ref="F57:G57"/>
    <mergeCell ref="B24:C24"/>
    <mergeCell ref="B35:C35"/>
    <mergeCell ref="D35:E35"/>
    <mergeCell ref="F35:G35"/>
    <mergeCell ref="D19:E19"/>
    <mergeCell ref="D17:E17"/>
    <mergeCell ref="F46:G46"/>
    <mergeCell ref="F47:G47"/>
    <mergeCell ref="D38:E38"/>
    <mergeCell ref="H44:I44"/>
    <mergeCell ref="D18:E18"/>
    <mergeCell ref="B19:C19"/>
    <mergeCell ref="F19:G19"/>
    <mergeCell ref="B22:C22"/>
    <mergeCell ref="D22:E22"/>
    <mergeCell ref="F22:G22"/>
    <mergeCell ref="B23:C23"/>
    <mergeCell ref="D23:E23"/>
    <mergeCell ref="H37:I37"/>
    <mergeCell ref="H38:I38"/>
    <mergeCell ref="H18:I18"/>
    <mergeCell ref="H19:I19"/>
    <mergeCell ref="H20:I20"/>
    <mergeCell ref="H21:I21"/>
    <mergeCell ref="D16:E16"/>
    <mergeCell ref="H22:I22"/>
    <mergeCell ref="H23:I23"/>
    <mergeCell ref="B406:C406"/>
    <mergeCell ref="H48:I48"/>
    <mergeCell ref="H49:I49"/>
    <mergeCell ref="H50:I50"/>
    <mergeCell ref="D54:E54"/>
    <mergeCell ref="F67:G67"/>
    <mergeCell ref="H67:I67"/>
    <mergeCell ref="H68:I68"/>
    <mergeCell ref="H395:I395"/>
    <mergeCell ref="B51:C51"/>
    <mergeCell ref="D51:E51"/>
    <mergeCell ref="F51:G51"/>
    <mergeCell ref="H51:I51"/>
    <mergeCell ref="D43:E43"/>
    <mergeCell ref="F44:G44"/>
    <mergeCell ref="B48:C48"/>
    <mergeCell ref="B86:C86"/>
    <mergeCell ref="D86:E86"/>
    <mergeCell ref="F86:G86"/>
    <mergeCell ref="H86:I86"/>
    <mergeCell ref="D76:E76"/>
    <mergeCell ref="D77:E77"/>
    <mergeCell ref="F77:G77"/>
    <mergeCell ref="H77:I77"/>
    <mergeCell ref="B78:C78"/>
    <mergeCell ref="D78:E78"/>
    <mergeCell ref="F78:G78"/>
    <mergeCell ref="H78:I78"/>
    <mergeCell ref="B79:C79"/>
    <mergeCell ref="D79:E79"/>
    <mergeCell ref="H39:I39"/>
    <mergeCell ref="D39:E39"/>
    <mergeCell ref="B58:C58"/>
    <mergeCell ref="D58:E58"/>
    <mergeCell ref="F58:G58"/>
    <mergeCell ref="H58:I58"/>
    <mergeCell ref="D48:E48"/>
    <mergeCell ref="F48:G48"/>
    <mergeCell ref="B49:C49"/>
    <mergeCell ref="D49:E49"/>
    <mergeCell ref="F49:G49"/>
    <mergeCell ref="B50:C50"/>
    <mergeCell ref="D50:E50"/>
    <mergeCell ref="F50:G50"/>
    <mergeCell ref="B54:C54"/>
    <mergeCell ref="B84:C84"/>
    <mergeCell ref="D84:E84"/>
    <mergeCell ref="F84:G84"/>
    <mergeCell ref="F69:G69"/>
    <mergeCell ref="H69:I69"/>
    <mergeCell ref="B70:C70"/>
    <mergeCell ref="D70:E70"/>
    <mergeCell ref="B62:C62"/>
    <mergeCell ref="D62:E62"/>
    <mergeCell ref="F62:G62"/>
    <mergeCell ref="H62:I62"/>
    <mergeCell ref="H79:I79"/>
    <mergeCell ref="B80:C80"/>
    <mergeCell ref="D80:E80"/>
    <mergeCell ref="F80:G80"/>
    <mergeCell ref="B67:C67"/>
    <mergeCell ref="D44:E44"/>
    <mergeCell ref="H24:I24"/>
    <mergeCell ref="B55:C55"/>
    <mergeCell ref="D55:E55"/>
    <mergeCell ref="F55:G55"/>
    <mergeCell ref="H55:I55"/>
    <mergeCell ref="B56:C56"/>
    <mergeCell ref="D56:E56"/>
    <mergeCell ref="F56:G56"/>
    <mergeCell ref="H56:I56"/>
    <mergeCell ref="B57:C57"/>
    <mergeCell ref="D57:E57"/>
    <mergeCell ref="D63:E63"/>
    <mergeCell ref="F63:G63"/>
    <mergeCell ref="D81:E81"/>
    <mergeCell ref="F81:G81"/>
    <mergeCell ref="H81:I81"/>
    <mergeCell ref="B46:C46"/>
    <mergeCell ref="B47:C47"/>
    <mergeCell ref="B52:C52"/>
    <mergeCell ref="D52:E52"/>
    <mergeCell ref="F52:G52"/>
    <mergeCell ref="B64:C64"/>
    <mergeCell ref="B65:C65"/>
    <mergeCell ref="B68:C68"/>
    <mergeCell ref="D68:E68"/>
    <mergeCell ref="B74:C74"/>
    <mergeCell ref="F60:G60"/>
    <mergeCell ref="H60:I60"/>
    <mergeCell ref="B61:C61"/>
    <mergeCell ref="D61:E61"/>
    <mergeCell ref="F61:G61"/>
    <mergeCell ref="H61:I61"/>
    <mergeCell ref="J379:K379"/>
    <mergeCell ref="H380:I380"/>
    <mergeCell ref="J380:K380"/>
    <mergeCell ref="B71:C71"/>
    <mergeCell ref="B73:C73"/>
    <mergeCell ref="D73:E73"/>
    <mergeCell ref="F73:G73"/>
    <mergeCell ref="H74:I74"/>
    <mergeCell ref="B75:C75"/>
    <mergeCell ref="D75:E75"/>
    <mergeCell ref="F75:G75"/>
    <mergeCell ref="H75:I75"/>
    <mergeCell ref="D365:E365"/>
    <mergeCell ref="J376:K376"/>
    <mergeCell ref="G350:H350"/>
    <mergeCell ref="H370:I370"/>
    <mergeCell ref="H369:I369"/>
    <mergeCell ref="B332:C332"/>
    <mergeCell ref="B333:C333"/>
    <mergeCell ref="B319:C319"/>
    <mergeCell ref="B328:C328"/>
    <mergeCell ref="B329:C329"/>
    <mergeCell ref="B320:C320"/>
    <mergeCell ref="H316:I316"/>
    <mergeCell ref="G347:H347"/>
    <mergeCell ref="B314:I314"/>
    <mergeCell ref="G337:H337"/>
    <mergeCell ref="B349:C349"/>
    <mergeCell ref="H319:I319"/>
    <mergeCell ref="B331:C331"/>
    <mergeCell ref="F316:G316"/>
    <mergeCell ref="I325:M325"/>
    <mergeCell ref="B219:C219"/>
    <mergeCell ref="D219:E219"/>
    <mergeCell ref="F219:G219"/>
    <mergeCell ref="H219:I219"/>
    <mergeCell ref="B220:C220"/>
    <mergeCell ref="D220:E220"/>
    <mergeCell ref="J370:K370"/>
    <mergeCell ref="L366:M366"/>
    <mergeCell ref="L365:M365"/>
    <mergeCell ref="F70:G70"/>
    <mergeCell ref="H70:I70"/>
    <mergeCell ref="H222:I222"/>
    <mergeCell ref="F220:G220"/>
    <mergeCell ref="H220:I220"/>
    <mergeCell ref="L326:M326"/>
    <mergeCell ref="L334:M334"/>
    <mergeCell ref="F238:G238"/>
    <mergeCell ref="H238:I238"/>
    <mergeCell ref="D239:E239"/>
    <mergeCell ref="F239:G239"/>
    <mergeCell ref="H239:I239"/>
    <mergeCell ref="D240:E240"/>
    <mergeCell ref="F240:G240"/>
    <mergeCell ref="J257:K257"/>
    <mergeCell ref="J258:K258"/>
    <mergeCell ref="J262:K262"/>
    <mergeCell ref="L353:M353"/>
    <mergeCell ref="H71:I71"/>
    <mergeCell ref="B72:C72"/>
    <mergeCell ref="D72:E72"/>
    <mergeCell ref="F72:G72"/>
    <mergeCell ref="H72:I72"/>
    <mergeCell ref="L327:M327"/>
    <mergeCell ref="G351:H351"/>
    <mergeCell ref="L351:M351"/>
    <mergeCell ref="G352:H352"/>
    <mergeCell ref="G330:H330"/>
    <mergeCell ref="G331:H331"/>
    <mergeCell ref="G332:H332"/>
    <mergeCell ref="G356:H356"/>
    <mergeCell ref="D222:E222"/>
    <mergeCell ref="F222:G222"/>
    <mergeCell ref="L328:M328"/>
    <mergeCell ref="L329:M329"/>
    <mergeCell ref="J365:K365"/>
    <mergeCell ref="H365:I365"/>
    <mergeCell ref="J366:K366"/>
    <mergeCell ref="H366:I366"/>
    <mergeCell ref="B365:C366"/>
    <mergeCell ref="B336:C336"/>
    <mergeCell ref="B330:C330"/>
    <mergeCell ref="B327:C327"/>
    <mergeCell ref="G328:H328"/>
    <mergeCell ref="L339:M339"/>
    <mergeCell ref="L340:M340"/>
    <mergeCell ref="L338:M338"/>
    <mergeCell ref="L332:M332"/>
    <mergeCell ref="L333:M333"/>
    <mergeCell ref="J299:K299"/>
    <mergeCell ref="J301:K301"/>
    <mergeCell ref="F319:G319"/>
    <mergeCell ref="J302:K302"/>
    <mergeCell ref="J303:K303"/>
    <mergeCell ref="J304:K304"/>
    <mergeCell ref="G334:H334"/>
    <mergeCell ref="G335:H335"/>
    <mergeCell ref="D346:H346"/>
    <mergeCell ref="I346:M346"/>
    <mergeCell ref="L347:M347"/>
    <mergeCell ref="G349:H349"/>
    <mergeCell ref="L349:M349"/>
    <mergeCell ref="L350:M350"/>
    <mergeCell ref="L354:M354"/>
    <mergeCell ref="G348:H348"/>
    <mergeCell ref="L348:M348"/>
    <mergeCell ref="F365:G365"/>
    <mergeCell ref="F366:G366"/>
    <mergeCell ref="L357:M357"/>
    <mergeCell ref="L358:M358"/>
    <mergeCell ref="L371:M371"/>
    <mergeCell ref="G353:H353"/>
    <mergeCell ref="H367:I367"/>
    <mergeCell ref="L337:M337"/>
    <mergeCell ref="L356:M356"/>
    <mergeCell ref="G357:H357"/>
    <mergeCell ref="D369:E369"/>
    <mergeCell ref="D370:E370"/>
    <mergeCell ref="D367:E367"/>
    <mergeCell ref="G354:H354"/>
    <mergeCell ref="L355:M355"/>
    <mergeCell ref="L383:M383"/>
    <mergeCell ref="L385:M385"/>
    <mergeCell ref="L387:M387"/>
    <mergeCell ref="L401:M401"/>
    <mergeCell ref="H383:I383"/>
    <mergeCell ref="J383:K383"/>
    <mergeCell ref="H385:I385"/>
    <mergeCell ref="H400:I400"/>
    <mergeCell ref="J405:K405"/>
    <mergeCell ref="L403:M403"/>
    <mergeCell ref="H396:I396"/>
    <mergeCell ref="J398:K398"/>
    <mergeCell ref="L352:M352"/>
    <mergeCell ref="J381:K381"/>
    <mergeCell ref="H376:I376"/>
    <mergeCell ref="D379:E379"/>
    <mergeCell ref="F381:G381"/>
    <mergeCell ref="H368:I368"/>
    <mergeCell ref="H375:I375"/>
    <mergeCell ref="J375:K375"/>
    <mergeCell ref="D381:E381"/>
    <mergeCell ref="F372:G372"/>
    <mergeCell ref="H373:I373"/>
    <mergeCell ref="J373:K373"/>
    <mergeCell ref="H372:I372"/>
    <mergeCell ref="H403:I403"/>
    <mergeCell ref="H371:I371"/>
    <mergeCell ref="J371:K371"/>
    <mergeCell ref="J372:K372"/>
    <mergeCell ref="H374:I374"/>
    <mergeCell ref="J374:K374"/>
    <mergeCell ref="H379:I379"/>
    <mergeCell ref="L418:M418"/>
    <mergeCell ref="J424:K424"/>
    <mergeCell ref="L424:M424"/>
    <mergeCell ref="H412:I412"/>
    <mergeCell ref="L476:M476"/>
    <mergeCell ref="L462:M462"/>
    <mergeCell ref="J389:K389"/>
    <mergeCell ref="H399:I399"/>
    <mergeCell ref="J399:K399"/>
    <mergeCell ref="H448:I448"/>
    <mergeCell ref="J448:K448"/>
    <mergeCell ref="J445:K445"/>
    <mergeCell ref="L457:M457"/>
    <mergeCell ref="H461:I461"/>
    <mergeCell ref="J461:K461"/>
    <mergeCell ref="J430:K430"/>
    <mergeCell ref="J436:K436"/>
    <mergeCell ref="L395:M395"/>
    <mergeCell ref="L399:M399"/>
    <mergeCell ref="L390:M390"/>
    <mergeCell ref="L461:M461"/>
    <mergeCell ref="L463:M463"/>
    <mergeCell ref="H463:I463"/>
    <mergeCell ref="J463:K463"/>
    <mergeCell ref="L412:M412"/>
    <mergeCell ref="J431:K431"/>
    <mergeCell ref="H439:I439"/>
    <mergeCell ref="J439:K439"/>
    <mergeCell ref="J396:K396"/>
    <mergeCell ref="H397:I397"/>
    <mergeCell ref="J397:K397"/>
    <mergeCell ref="H398:I398"/>
    <mergeCell ref="F455:G455"/>
    <mergeCell ref="F453:G453"/>
    <mergeCell ref="J477:K477"/>
    <mergeCell ref="B477:C477"/>
    <mergeCell ref="H442:I442"/>
    <mergeCell ref="J442:K442"/>
    <mergeCell ref="H438:I438"/>
    <mergeCell ref="J438:K438"/>
    <mergeCell ref="H466:I466"/>
    <mergeCell ref="F474:G474"/>
    <mergeCell ref="L474:M474"/>
    <mergeCell ref="J435:K435"/>
    <mergeCell ref="L470:M470"/>
    <mergeCell ref="H443:I443"/>
    <mergeCell ref="J453:K453"/>
    <mergeCell ref="H459:I459"/>
    <mergeCell ref="B453:C453"/>
    <mergeCell ref="D459:E459"/>
    <mergeCell ref="F459:G459"/>
    <mergeCell ref="B447:C447"/>
    <mergeCell ref="D447:E447"/>
    <mergeCell ref="L449:M449"/>
    <mergeCell ref="D443:E443"/>
    <mergeCell ref="F443:G443"/>
    <mergeCell ref="F445:G445"/>
    <mergeCell ref="B448:C448"/>
    <mergeCell ref="B451:C451"/>
    <mergeCell ref="B444:C444"/>
    <mergeCell ref="L454:M454"/>
    <mergeCell ref="J452:K452"/>
    <mergeCell ref="H449:I449"/>
    <mergeCell ref="J449:K449"/>
    <mergeCell ref="B501:C501"/>
    <mergeCell ref="C679:D679"/>
    <mergeCell ref="G679:H679"/>
    <mergeCell ref="G624:H624"/>
    <mergeCell ref="G623:H623"/>
    <mergeCell ref="G622:H622"/>
    <mergeCell ref="G611:H611"/>
    <mergeCell ref="G618:H618"/>
    <mergeCell ref="G608:H608"/>
    <mergeCell ref="C676:D676"/>
    <mergeCell ref="C654:D654"/>
    <mergeCell ref="B648:V648"/>
    <mergeCell ref="G649:H650"/>
    <mergeCell ref="I649:J650"/>
    <mergeCell ref="G654:H654"/>
    <mergeCell ref="G642:H642"/>
    <mergeCell ref="C635:D635"/>
    <mergeCell ref="B523:C523"/>
    <mergeCell ref="B521:C521"/>
    <mergeCell ref="B522:C522"/>
    <mergeCell ref="G620:H620"/>
    <mergeCell ref="C636:D636"/>
    <mergeCell ref="C642:D642"/>
    <mergeCell ref="G655:H655"/>
    <mergeCell ref="C649:D650"/>
    <mergeCell ref="D505:E505"/>
    <mergeCell ref="F501:G501"/>
    <mergeCell ref="B570:C570"/>
    <mergeCell ref="B571:C571"/>
    <mergeCell ref="B572:C572"/>
    <mergeCell ref="B540:C545"/>
    <mergeCell ref="G542:H542"/>
    <mergeCell ref="G616:H616"/>
    <mergeCell ref="G615:H615"/>
    <mergeCell ref="G636:H636"/>
    <mergeCell ref="G635:H635"/>
    <mergeCell ref="G633:H633"/>
    <mergeCell ref="G634:H634"/>
    <mergeCell ref="G632:H632"/>
    <mergeCell ref="G631:H631"/>
    <mergeCell ref="I622:J622"/>
    <mergeCell ref="I620:J620"/>
    <mergeCell ref="C618:D618"/>
    <mergeCell ref="I616:J616"/>
    <mergeCell ref="I630:J630"/>
    <mergeCell ref="I629:J629"/>
    <mergeCell ref="C626:D626"/>
    <mergeCell ref="I639:J639"/>
    <mergeCell ref="C640:D640"/>
    <mergeCell ref="G630:H630"/>
    <mergeCell ref="G629:H629"/>
    <mergeCell ref="G617:H617"/>
    <mergeCell ref="G626:H626"/>
    <mergeCell ref="C628:D628"/>
    <mergeCell ref="G628:H628"/>
    <mergeCell ref="C619:D619"/>
    <mergeCell ref="I628:J628"/>
    <mergeCell ref="I627:J627"/>
    <mergeCell ref="I626:J626"/>
    <mergeCell ref="G627:H627"/>
    <mergeCell ref="G619:H619"/>
    <mergeCell ref="C627:D627"/>
    <mergeCell ref="C625:D625"/>
    <mergeCell ref="D508:E508"/>
    <mergeCell ref="D509:E509"/>
    <mergeCell ref="H505:I505"/>
    <mergeCell ref="F502:G502"/>
    <mergeCell ref="D503:E503"/>
    <mergeCell ref="G614:H614"/>
    <mergeCell ref="C615:D615"/>
    <mergeCell ref="C616:D616"/>
    <mergeCell ref="C614:D614"/>
    <mergeCell ref="G609:H609"/>
    <mergeCell ref="K604:V604"/>
    <mergeCell ref="B505:C505"/>
    <mergeCell ref="B510:C510"/>
    <mergeCell ref="L514:M514"/>
    <mergeCell ref="B506:C506"/>
    <mergeCell ref="H506:I506"/>
    <mergeCell ref="J506:K506"/>
    <mergeCell ref="L506:M506"/>
    <mergeCell ref="D526:F526"/>
    <mergeCell ref="D534:F534"/>
    <mergeCell ref="G530:H530"/>
    <mergeCell ref="B507:C507"/>
    <mergeCell ref="L507:M507"/>
    <mergeCell ref="G529:H529"/>
    <mergeCell ref="G527:H527"/>
    <mergeCell ref="K605:L605"/>
    <mergeCell ref="I607:J607"/>
    <mergeCell ref="I606:J606"/>
    <mergeCell ref="I604:J605"/>
    <mergeCell ref="B573:C573"/>
    <mergeCell ref="B574:C574"/>
    <mergeCell ref="G533:H533"/>
    <mergeCell ref="G544:H544"/>
    <mergeCell ref="G545:H545"/>
    <mergeCell ref="H507:I507"/>
    <mergeCell ref="G528:H528"/>
    <mergeCell ref="J507:K507"/>
    <mergeCell ref="G547:H547"/>
    <mergeCell ref="G548:H548"/>
    <mergeCell ref="G543:H543"/>
    <mergeCell ref="G525:J525"/>
    <mergeCell ref="G526:H526"/>
    <mergeCell ref="I526:J526"/>
    <mergeCell ref="I527:J527"/>
    <mergeCell ref="I528:J528"/>
    <mergeCell ref="I529:J529"/>
    <mergeCell ref="I530:J530"/>
    <mergeCell ref="I531:J531"/>
    <mergeCell ref="I532:J532"/>
    <mergeCell ref="I533:J533"/>
    <mergeCell ref="J509:K509"/>
    <mergeCell ref="I545:J545"/>
    <mergeCell ref="H508:I508"/>
    <mergeCell ref="J508:K508"/>
    <mergeCell ref="I541:J541"/>
    <mergeCell ref="I542:J542"/>
    <mergeCell ref="B502:C502"/>
    <mergeCell ref="B500:C500"/>
    <mergeCell ref="B494:C494"/>
    <mergeCell ref="I534:J534"/>
    <mergeCell ref="I540:J540"/>
    <mergeCell ref="D460:E460"/>
    <mergeCell ref="B469:C469"/>
    <mergeCell ref="D469:E469"/>
    <mergeCell ref="F469:G469"/>
    <mergeCell ref="H475:I475"/>
    <mergeCell ref="J475:K475"/>
    <mergeCell ref="F463:G463"/>
    <mergeCell ref="H501:I501"/>
    <mergeCell ref="H481:I481"/>
    <mergeCell ref="J481:K481"/>
    <mergeCell ref="B482:C482"/>
    <mergeCell ref="D482:E482"/>
    <mergeCell ref="B487:C487"/>
    <mergeCell ref="H477:I477"/>
    <mergeCell ref="B475:C475"/>
    <mergeCell ref="D475:E475"/>
    <mergeCell ref="J471:K471"/>
    <mergeCell ref="B461:C461"/>
    <mergeCell ref="B466:C467"/>
    <mergeCell ref="F468:G468"/>
    <mergeCell ref="H462:I462"/>
    <mergeCell ref="J462:K462"/>
    <mergeCell ref="J470:K470"/>
    <mergeCell ref="H469:I469"/>
    <mergeCell ref="J469:K469"/>
    <mergeCell ref="D501:E501"/>
    <mergeCell ref="D506:E506"/>
    <mergeCell ref="J33:K33"/>
    <mergeCell ref="H441:I441"/>
    <mergeCell ref="J441:K441"/>
    <mergeCell ref="J421:K421"/>
    <mergeCell ref="H422:I422"/>
    <mergeCell ref="J422:K422"/>
    <mergeCell ref="H434:I434"/>
    <mergeCell ref="H428:I428"/>
    <mergeCell ref="H435:I435"/>
    <mergeCell ref="D34:E34"/>
    <mergeCell ref="F34:G34"/>
    <mergeCell ref="H34:I34"/>
    <mergeCell ref="J34:K34"/>
    <mergeCell ref="H35:I35"/>
    <mergeCell ref="J35:K35"/>
    <mergeCell ref="H444:I444"/>
    <mergeCell ref="J444:K444"/>
    <mergeCell ref="J443:K443"/>
    <mergeCell ref="B408:M408"/>
    <mergeCell ref="B403:C403"/>
    <mergeCell ref="J400:K400"/>
    <mergeCell ref="H402:I402"/>
    <mergeCell ref="H404:I404"/>
    <mergeCell ref="J404:K404"/>
    <mergeCell ref="L400:M400"/>
    <mergeCell ref="L410:M410"/>
    <mergeCell ref="L416:M416"/>
    <mergeCell ref="L414:M414"/>
    <mergeCell ref="F402:G402"/>
    <mergeCell ref="J403:K403"/>
    <mergeCell ref="B409:C410"/>
    <mergeCell ref="J420:K420"/>
    <mergeCell ref="J446:K446"/>
    <mergeCell ref="D445:E445"/>
    <mergeCell ref="D444:E444"/>
    <mergeCell ref="H440:I440"/>
    <mergeCell ref="J440:K440"/>
    <mergeCell ref="J369:K369"/>
    <mergeCell ref="J368:K368"/>
    <mergeCell ref="Q351:R351"/>
    <mergeCell ref="Q352:R352"/>
    <mergeCell ref="Q353:R353"/>
    <mergeCell ref="Q354:R354"/>
    <mergeCell ref="Q355:R355"/>
    <mergeCell ref="Q356:R356"/>
    <mergeCell ref="Q357:R357"/>
    <mergeCell ref="Q358:R358"/>
    <mergeCell ref="H417:I417"/>
    <mergeCell ref="H411:I411"/>
    <mergeCell ref="J411:K411"/>
    <mergeCell ref="J390:K390"/>
    <mergeCell ref="H392:I392"/>
    <mergeCell ref="J392:K392"/>
    <mergeCell ref="H393:I393"/>
    <mergeCell ref="J393:K393"/>
    <mergeCell ref="H394:I394"/>
    <mergeCell ref="H377:I377"/>
    <mergeCell ref="J377:K377"/>
    <mergeCell ref="H378:I378"/>
    <mergeCell ref="J378:K378"/>
    <mergeCell ref="H382:I382"/>
    <mergeCell ref="J382:K382"/>
    <mergeCell ref="H406:I406"/>
    <mergeCell ref="J406:K406"/>
    <mergeCell ref="J29:K29"/>
    <mergeCell ref="B30:C30"/>
    <mergeCell ref="D30:E30"/>
    <mergeCell ref="F30:G30"/>
    <mergeCell ref="H30:I30"/>
    <mergeCell ref="J30:K30"/>
    <mergeCell ref="B31:C31"/>
    <mergeCell ref="D31:E31"/>
    <mergeCell ref="F31:G31"/>
    <mergeCell ref="H31:I31"/>
    <mergeCell ref="J31:K31"/>
    <mergeCell ref="B32:C32"/>
    <mergeCell ref="D32:E32"/>
    <mergeCell ref="F32:G32"/>
    <mergeCell ref="H32:I32"/>
    <mergeCell ref="J38:K38"/>
    <mergeCell ref="B36:C36"/>
    <mergeCell ref="D36:E36"/>
    <mergeCell ref="F36:G36"/>
    <mergeCell ref="H36:I36"/>
    <mergeCell ref="J36:K36"/>
    <mergeCell ref="B37:C37"/>
    <mergeCell ref="D37:E37"/>
    <mergeCell ref="F37:G37"/>
    <mergeCell ref="J37:K37"/>
    <mergeCell ref="B38:C38"/>
    <mergeCell ref="B34:C34"/>
    <mergeCell ref="J32:K32"/>
    <mergeCell ref="B33:C33"/>
    <mergeCell ref="D33:E33"/>
    <mergeCell ref="F33:G33"/>
    <mergeCell ref="H33:I33"/>
    <mergeCell ref="J25:K25"/>
    <mergeCell ref="B26:C26"/>
    <mergeCell ref="D26:E26"/>
    <mergeCell ref="F26:G26"/>
    <mergeCell ref="H26:I26"/>
    <mergeCell ref="J26:K26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F25:G25"/>
    <mergeCell ref="H25:I25"/>
  </mergeCells>
  <phoneticPr fontId="32" type="noConversion"/>
  <conditionalFormatting sqref="A651:A710 B651:B708">
    <cfRule type="duplicateValues" dxfId="14" priority="86"/>
  </conditionalFormatting>
  <conditionalFormatting sqref="J850:J854">
    <cfRule type="cellIs" dxfId="13" priority="10" operator="lessThan">
      <formula>-0.1</formula>
    </cfRule>
    <cfRule type="cellIs" dxfId="12" priority="11" operator="greaterThan">
      <formula>0.1</formula>
    </cfRule>
    <cfRule type="cellIs" dxfId="11" priority="12" operator="greaterThan">
      <formula>1</formula>
    </cfRule>
    <cfRule type="cellIs" dxfId="10" priority="13" operator="lessThan">
      <formula>-1</formula>
    </cfRule>
  </conditionalFormatting>
  <conditionalFormatting sqref="O826:O833 O837:O845">
    <cfRule type="cellIs" dxfId="9" priority="26" operator="lessThan">
      <formula>-0.1</formula>
    </cfRule>
    <cfRule type="cellIs" dxfId="8" priority="27" operator="greaterThan">
      <formula>0.1</formula>
    </cfRule>
    <cfRule type="cellIs" dxfId="7" priority="28" operator="greaterThan">
      <formula>1</formula>
    </cfRule>
    <cfRule type="cellIs" dxfId="6" priority="29" operator="lessThan">
      <formula>-1</formula>
    </cfRule>
  </conditionalFormatting>
  <conditionalFormatting sqref="O367:S406 Q405:Q407 O411:S463">
    <cfRule type="cellIs" dxfId="5" priority="81" operator="greaterThan">
      <formula>1</formula>
    </cfRule>
    <cfRule type="cellIs" dxfId="4" priority="84" operator="lessThan">
      <formula>-1</formula>
    </cfRule>
  </conditionalFormatting>
  <conditionalFormatting sqref="O468:S515 K516:M516">
    <cfRule type="cellIs" dxfId="3" priority="50" operator="greaterThan">
      <formula>1</formula>
    </cfRule>
    <cfRule type="cellIs" dxfId="2" priority="51" operator="lessThan">
      <formula>-1</formula>
    </cfRule>
  </conditionalFormatting>
  <pageMargins left="0.7" right="0.7" top="0.75" bottom="0.75" header="0.3" footer="0.3"/>
  <pageSetup paperSize="9" scale="36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8:BY211"/>
  <sheetViews>
    <sheetView zoomScaleNormal="100" workbookViewId="0">
      <selection activeCell="A10" sqref="A10"/>
    </sheetView>
  </sheetViews>
  <sheetFormatPr baseColWidth="10" defaultColWidth="10.7109375" defaultRowHeight="12.75" x14ac:dyDescent="0.2"/>
  <cols>
    <col min="1" max="1" width="9" style="20" bestFit="1" customWidth="1"/>
    <col min="2" max="2" width="11.85546875" style="101" customWidth="1"/>
    <col min="3" max="3" width="31.42578125" style="96" customWidth="1"/>
    <col min="4" max="4" width="7.7109375" style="20" bestFit="1" customWidth="1"/>
    <col min="5" max="5" width="6.42578125" style="20" bestFit="1" customWidth="1"/>
    <col min="6" max="6" width="8" style="20" bestFit="1" customWidth="1"/>
    <col min="7" max="24" width="5.42578125" style="20" customWidth="1"/>
    <col min="25" max="37" width="5.42578125" style="94" customWidth="1"/>
    <col min="38" max="38" width="10.140625" style="94" customWidth="1"/>
    <col min="39" max="39" width="10" style="94" customWidth="1"/>
    <col min="40" max="40" width="8.42578125" style="94" customWidth="1"/>
    <col min="41" max="41" width="5.85546875" style="94" bestFit="1" customWidth="1"/>
    <col min="42" max="42" width="9.42578125" style="94" customWidth="1"/>
    <col min="43" max="43" width="15.42578125" style="94" customWidth="1"/>
    <col min="44" max="44" width="11.7109375" style="94" bestFit="1" customWidth="1"/>
    <col min="45" max="45" width="0" style="94" hidden="1" customWidth="1"/>
    <col min="46" max="46" width="4.7109375" style="94" bestFit="1" customWidth="1"/>
    <col min="47" max="48" width="5" style="94" bestFit="1" customWidth="1"/>
    <col min="49" max="50" width="11" style="94" bestFit="1" customWidth="1"/>
    <col min="51" max="51" width="12.42578125" style="94" bestFit="1" customWidth="1"/>
    <col min="52" max="54" width="4.85546875" style="94" bestFit="1" customWidth="1"/>
    <col min="55" max="56" width="5.7109375" style="94" bestFit="1" customWidth="1"/>
    <col min="57" max="57" width="10.28515625" style="94" customWidth="1"/>
    <col min="58" max="58" width="16.7109375" style="94" bestFit="1" customWidth="1"/>
    <col min="59" max="59" width="9.28515625" style="94" bestFit="1" customWidth="1"/>
    <col min="60" max="60" width="4.42578125" style="94" bestFit="1" customWidth="1"/>
    <col min="61" max="68" width="4.85546875" style="94" bestFit="1" customWidth="1"/>
    <col min="69" max="70" width="5.7109375" style="94" bestFit="1" customWidth="1"/>
    <col min="71" max="71" width="10" style="94" bestFit="1" customWidth="1"/>
    <col min="72" max="72" width="15.7109375" style="94" bestFit="1" customWidth="1"/>
    <col min="73" max="73" width="12.42578125" style="94" bestFit="1" customWidth="1"/>
    <col min="74" max="75" width="10.7109375" style="20"/>
    <col min="76" max="76" width="17" style="20" customWidth="1"/>
    <col min="77" max="77" width="75.42578125" style="20" customWidth="1"/>
    <col min="78" max="16384" width="10.7109375" style="20"/>
  </cols>
  <sheetData>
    <row r="8" spans="1:75" ht="18" x14ac:dyDescent="0.2">
      <c r="B8" s="102" t="s">
        <v>642</v>
      </c>
    </row>
    <row r="9" spans="1:75" ht="18" x14ac:dyDescent="0.2">
      <c r="B9" s="102"/>
    </row>
    <row r="10" spans="1:75" x14ac:dyDescent="0.2">
      <c r="B10" s="100" t="s">
        <v>931</v>
      </c>
      <c r="Y10" s="20"/>
      <c r="BV10" s="94"/>
      <c r="BW10" s="94"/>
    </row>
    <row r="11" spans="1:75" ht="13.5" thickBot="1" x14ac:dyDescent="0.25">
      <c r="B11" s="100"/>
      <c r="Y11" s="20"/>
      <c r="BV11" s="94"/>
      <c r="BW11" s="94"/>
    </row>
    <row r="12" spans="1:75" s="53" customFormat="1" ht="15" customHeight="1" thickBot="1" x14ac:dyDescent="0.3">
      <c r="B12" s="103"/>
      <c r="C12" s="97"/>
      <c r="D12" s="87"/>
      <c r="E12" s="87"/>
      <c r="F12" s="87"/>
      <c r="G12" s="1325" t="s">
        <v>644</v>
      </c>
      <c r="H12" s="1326"/>
      <c r="I12" s="1326"/>
      <c r="J12" s="1326"/>
      <c r="K12" s="1326"/>
      <c r="L12" s="1326"/>
      <c r="M12" s="1325" t="s">
        <v>645</v>
      </c>
      <c r="N12" s="1326"/>
      <c r="O12" s="1326"/>
      <c r="P12" s="1326"/>
      <c r="Q12" s="1326"/>
      <c r="R12" s="1326"/>
      <c r="S12" s="1326"/>
      <c r="T12" s="1326"/>
      <c r="U12" s="1326"/>
      <c r="V12" s="1326"/>
      <c r="W12" s="1326"/>
      <c r="X12" s="1326"/>
      <c r="Y12" s="1326"/>
      <c r="Z12" s="1326"/>
      <c r="AA12" s="1325" t="s">
        <v>646</v>
      </c>
      <c r="AB12" s="1326"/>
      <c r="AC12" s="1326"/>
      <c r="AD12" s="1326"/>
      <c r="AE12" s="1326"/>
      <c r="AF12" s="1326"/>
      <c r="AG12" s="1326"/>
      <c r="AH12" s="1326"/>
      <c r="AI12" s="1326"/>
      <c r="AJ12" s="1326"/>
      <c r="AK12" s="1326"/>
      <c r="AL12" s="1326"/>
      <c r="AM12" s="1326"/>
      <c r="AN12" s="1327"/>
      <c r="AO12" s="97"/>
    </row>
    <row r="13" spans="1:75" s="53" customFormat="1" ht="32.25" thickBot="1" x14ac:dyDescent="0.3">
      <c r="B13" s="310" t="s">
        <v>647</v>
      </c>
      <c r="C13" s="310" t="s">
        <v>249</v>
      </c>
      <c r="D13" s="311" t="s">
        <v>725</v>
      </c>
      <c r="E13" s="311" t="s">
        <v>250</v>
      </c>
      <c r="F13" s="312" t="s">
        <v>905</v>
      </c>
      <c r="G13" s="313" t="s">
        <v>650</v>
      </c>
      <c r="H13" s="313" t="s">
        <v>651</v>
      </c>
      <c r="I13" s="313" t="s">
        <v>652</v>
      </c>
      <c r="J13" s="313" t="s">
        <v>653</v>
      </c>
      <c r="K13" s="313" t="s">
        <v>654</v>
      </c>
      <c r="L13" s="314" t="s">
        <v>655</v>
      </c>
      <c r="M13" s="313" t="s">
        <v>656</v>
      </c>
      <c r="N13" s="313" t="s">
        <v>657</v>
      </c>
      <c r="O13" s="313" t="s">
        <v>658</v>
      </c>
      <c r="P13" s="313" t="s">
        <v>659</v>
      </c>
      <c r="Q13" s="313" t="s">
        <v>660</v>
      </c>
      <c r="R13" s="313" t="s">
        <v>661</v>
      </c>
      <c r="S13" s="336" t="s">
        <v>662</v>
      </c>
      <c r="T13" s="336" t="s">
        <v>663</v>
      </c>
      <c r="U13" s="336" t="s">
        <v>664</v>
      </c>
      <c r="V13" s="337" t="s">
        <v>665</v>
      </c>
      <c r="W13" s="337" t="s">
        <v>666</v>
      </c>
      <c r="X13" s="337" t="s">
        <v>667</v>
      </c>
      <c r="Y13" s="337" t="s">
        <v>668</v>
      </c>
      <c r="Z13" s="337" t="s">
        <v>669</v>
      </c>
      <c r="AA13" s="338" t="s">
        <v>672</v>
      </c>
      <c r="AB13" s="338" t="s">
        <v>673</v>
      </c>
      <c r="AC13" s="338" t="s">
        <v>674</v>
      </c>
      <c r="AD13" s="315" t="s">
        <v>675</v>
      </c>
      <c r="AE13" s="315" t="s">
        <v>676</v>
      </c>
      <c r="AF13" s="315" t="s">
        <v>677</v>
      </c>
      <c r="AG13" s="315" t="s">
        <v>678</v>
      </c>
      <c r="AH13" s="315" t="s">
        <v>679</v>
      </c>
      <c r="AI13" s="315" t="s">
        <v>680</v>
      </c>
      <c r="AJ13" s="315" t="s">
        <v>681</v>
      </c>
      <c r="AK13" s="316" t="s">
        <v>682</v>
      </c>
      <c r="AL13" s="73" t="s">
        <v>683</v>
      </c>
      <c r="AM13" s="73" t="s">
        <v>906</v>
      </c>
      <c r="AN13" s="73" t="s">
        <v>685</v>
      </c>
      <c r="AO13" s="97"/>
    </row>
    <row r="14" spans="1:75" s="53" customFormat="1" ht="15" x14ac:dyDescent="0.2">
      <c r="A14" s="20"/>
      <c r="B14" s="317">
        <v>37204010</v>
      </c>
      <c r="C14" s="74" t="s">
        <v>521</v>
      </c>
      <c r="D14" s="88">
        <v>9</v>
      </c>
      <c r="E14" s="378" t="s">
        <v>686</v>
      </c>
      <c r="F14" s="318" t="s">
        <v>907</v>
      </c>
      <c r="G14" s="339" t="s">
        <v>23</v>
      </c>
      <c r="H14" s="340"/>
      <c r="I14" s="340"/>
      <c r="J14" s="340" t="s">
        <v>23</v>
      </c>
      <c r="K14" s="340"/>
      <c r="L14" s="341" t="s">
        <v>23</v>
      </c>
      <c r="M14" s="342"/>
      <c r="N14" s="340"/>
      <c r="O14" s="340"/>
      <c r="P14" s="340"/>
      <c r="Q14" s="340" t="s">
        <v>23</v>
      </c>
      <c r="R14" s="340"/>
      <c r="S14" s="340"/>
      <c r="T14" s="340"/>
      <c r="U14" s="340" t="s">
        <v>23</v>
      </c>
      <c r="V14" s="340"/>
      <c r="W14" s="340"/>
      <c r="X14" s="340"/>
      <c r="Y14" s="340"/>
      <c r="Z14" s="341"/>
      <c r="AA14" s="343"/>
      <c r="AB14" s="344"/>
      <c r="AC14" s="344"/>
      <c r="AD14" s="344">
        <v>40</v>
      </c>
      <c r="AE14" s="344"/>
      <c r="AF14" s="344">
        <v>16</v>
      </c>
      <c r="AG14" s="344">
        <v>30</v>
      </c>
      <c r="AH14" s="344"/>
      <c r="AI14" s="344"/>
      <c r="AJ14" s="344">
        <v>9</v>
      </c>
      <c r="AK14" s="344">
        <v>130</v>
      </c>
      <c r="AL14" s="343">
        <v>90</v>
      </c>
      <c r="AM14" s="344">
        <v>135</v>
      </c>
      <c r="AN14" s="345">
        <f>SUM(AL14:AM14)</f>
        <v>225</v>
      </c>
      <c r="AO14" s="97"/>
    </row>
    <row r="15" spans="1:75" s="53" customFormat="1" ht="15" x14ac:dyDescent="0.2">
      <c r="A15" s="20"/>
      <c r="B15" s="319">
        <v>37204011</v>
      </c>
      <c r="C15" s="77" t="s">
        <v>522</v>
      </c>
      <c r="D15" s="90">
        <v>3</v>
      </c>
      <c r="E15" s="379" t="s">
        <v>686</v>
      </c>
      <c r="F15" s="320" t="s">
        <v>907</v>
      </c>
      <c r="G15" s="346" t="s">
        <v>23</v>
      </c>
      <c r="H15" s="347"/>
      <c r="I15" s="347"/>
      <c r="J15" s="347"/>
      <c r="K15" s="347"/>
      <c r="L15" s="348" t="s">
        <v>23</v>
      </c>
      <c r="M15" s="349"/>
      <c r="N15" s="347"/>
      <c r="O15" s="347"/>
      <c r="P15" s="347"/>
      <c r="Q15" s="348" t="s">
        <v>23</v>
      </c>
      <c r="R15" s="347"/>
      <c r="S15" s="347"/>
      <c r="T15" s="347"/>
      <c r="U15" s="347"/>
      <c r="V15" s="347"/>
      <c r="W15" s="347"/>
      <c r="X15" s="347"/>
      <c r="Y15" s="347"/>
      <c r="Z15" s="348"/>
      <c r="AA15" s="350">
        <v>1</v>
      </c>
      <c r="AB15" s="91"/>
      <c r="AC15" s="91"/>
      <c r="AD15" s="351"/>
      <c r="AE15" s="351"/>
      <c r="AF15" s="351"/>
      <c r="AG15" s="91">
        <v>22</v>
      </c>
      <c r="AH15" s="91"/>
      <c r="AI15" s="91"/>
      <c r="AJ15" s="91">
        <v>12</v>
      </c>
      <c r="AK15" s="91">
        <v>40</v>
      </c>
      <c r="AL15" s="350">
        <v>30</v>
      </c>
      <c r="AM15" s="91">
        <v>45</v>
      </c>
      <c r="AN15" s="352">
        <f t="shared" ref="AN15:AN71" si="0">SUM(AL15:AM15)</f>
        <v>75</v>
      </c>
      <c r="AO15" s="97"/>
    </row>
    <row r="16" spans="1:75" s="53" customFormat="1" ht="15" x14ac:dyDescent="0.2">
      <c r="A16" s="20"/>
      <c r="B16" s="319" t="s">
        <v>687</v>
      </c>
      <c r="C16" s="77" t="s">
        <v>523</v>
      </c>
      <c r="D16" s="90">
        <v>6</v>
      </c>
      <c r="E16" s="379" t="s">
        <v>686</v>
      </c>
      <c r="F16" s="320" t="s">
        <v>908</v>
      </c>
      <c r="G16" s="346" t="s">
        <v>23</v>
      </c>
      <c r="H16" s="347" t="s">
        <v>23</v>
      </c>
      <c r="I16" s="347"/>
      <c r="J16" s="347" t="s">
        <v>23</v>
      </c>
      <c r="K16" s="347" t="s">
        <v>23</v>
      </c>
      <c r="L16" s="348"/>
      <c r="M16" s="349"/>
      <c r="N16" s="347"/>
      <c r="O16" s="347"/>
      <c r="P16" s="347"/>
      <c r="Q16" s="347" t="s">
        <v>23</v>
      </c>
      <c r="R16" s="347"/>
      <c r="S16" s="347"/>
      <c r="T16" s="347"/>
      <c r="U16" s="347"/>
      <c r="V16" s="347"/>
      <c r="W16" s="347"/>
      <c r="X16" s="347"/>
      <c r="Y16" s="348" t="s">
        <v>23</v>
      </c>
      <c r="Z16" s="348"/>
      <c r="AA16" s="350"/>
      <c r="AB16" s="91"/>
      <c r="AC16" s="91"/>
      <c r="AD16" s="353">
        <v>49.5</v>
      </c>
      <c r="AE16" s="91"/>
      <c r="AF16" s="91"/>
      <c r="AG16" s="91">
        <v>5</v>
      </c>
      <c r="AH16" s="91"/>
      <c r="AI16" s="91"/>
      <c r="AJ16" s="91">
        <v>32</v>
      </c>
      <c r="AK16" s="91">
        <v>63.5</v>
      </c>
      <c r="AL16" s="350">
        <v>58</v>
      </c>
      <c r="AM16" s="91">
        <v>92</v>
      </c>
      <c r="AN16" s="352">
        <f t="shared" si="0"/>
        <v>150</v>
      </c>
      <c r="AO16" s="97"/>
    </row>
    <row r="17" spans="1:42" s="53" customFormat="1" ht="21" x14ac:dyDescent="0.2">
      <c r="A17" s="20"/>
      <c r="B17" s="319" t="s">
        <v>688</v>
      </c>
      <c r="C17" s="77" t="s">
        <v>524</v>
      </c>
      <c r="D17" s="90">
        <v>6</v>
      </c>
      <c r="E17" s="379" t="s">
        <v>686</v>
      </c>
      <c r="F17" s="320" t="s">
        <v>908</v>
      </c>
      <c r="G17" s="346" t="s">
        <v>23</v>
      </c>
      <c r="H17" s="347" t="s">
        <v>23</v>
      </c>
      <c r="I17" s="347"/>
      <c r="J17" s="347" t="s">
        <v>23</v>
      </c>
      <c r="K17" s="347" t="s">
        <v>23</v>
      </c>
      <c r="L17" s="348"/>
      <c r="M17" s="349"/>
      <c r="N17" s="347"/>
      <c r="O17" s="347"/>
      <c r="P17" s="347"/>
      <c r="Q17" s="347" t="s">
        <v>23</v>
      </c>
      <c r="R17" s="347"/>
      <c r="S17" s="347"/>
      <c r="T17" s="347"/>
      <c r="U17" s="347"/>
      <c r="V17" s="347"/>
      <c r="W17" s="347"/>
      <c r="X17" s="347"/>
      <c r="Y17" s="347"/>
      <c r="Z17" s="348"/>
      <c r="AA17" s="350"/>
      <c r="AB17" s="91"/>
      <c r="AC17" s="91"/>
      <c r="AD17" s="91">
        <v>48</v>
      </c>
      <c r="AE17" s="91"/>
      <c r="AF17" s="91"/>
      <c r="AG17" s="91">
        <v>4</v>
      </c>
      <c r="AH17" s="91"/>
      <c r="AI17" s="91"/>
      <c r="AJ17" s="91">
        <v>26</v>
      </c>
      <c r="AK17" s="91">
        <v>72</v>
      </c>
      <c r="AL17" s="350">
        <v>60</v>
      </c>
      <c r="AM17" s="91">
        <v>90</v>
      </c>
      <c r="AN17" s="352">
        <f t="shared" si="0"/>
        <v>150</v>
      </c>
      <c r="AO17" s="97"/>
    </row>
    <row r="18" spans="1:42" s="53" customFormat="1" ht="21" x14ac:dyDescent="0.2">
      <c r="A18" s="20"/>
      <c r="B18" s="319" t="s">
        <v>689</v>
      </c>
      <c r="C18" s="77" t="s">
        <v>525</v>
      </c>
      <c r="D18" s="90">
        <v>6</v>
      </c>
      <c r="E18" s="379" t="s">
        <v>686</v>
      </c>
      <c r="F18" s="320" t="s">
        <v>909</v>
      </c>
      <c r="G18" s="346" t="s">
        <v>23</v>
      </c>
      <c r="H18" s="347"/>
      <c r="I18" s="347"/>
      <c r="J18" s="347"/>
      <c r="K18" s="347" t="s">
        <v>23</v>
      </c>
      <c r="L18" s="348" t="s">
        <v>23</v>
      </c>
      <c r="M18" s="349"/>
      <c r="N18" s="347"/>
      <c r="O18" s="347"/>
      <c r="P18" s="347" t="s">
        <v>23</v>
      </c>
      <c r="Q18" s="347" t="s">
        <v>23</v>
      </c>
      <c r="R18" s="347"/>
      <c r="S18" s="347"/>
      <c r="T18" s="347"/>
      <c r="U18" s="347"/>
      <c r="V18" s="347"/>
      <c r="W18" s="347"/>
      <c r="X18" s="347"/>
      <c r="Y18" s="347"/>
      <c r="Z18" s="348"/>
      <c r="AA18" s="350"/>
      <c r="AB18" s="91"/>
      <c r="AC18" s="91"/>
      <c r="AD18" s="91"/>
      <c r="AE18" s="91"/>
      <c r="AF18" s="91"/>
      <c r="AG18" s="91">
        <v>2</v>
      </c>
      <c r="AH18" s="91"/>
      <c r="AI18" s="91">
        <v>28</v>
      </c>
      <c r="AJ18" s="91">
        <v>8</v>
      </c>
      <c r="AK18" s="91">
        <v>112</v>
      </c>
      <c r="AL18" s="350">
        <v>60</v>
      </c>
      <c r="AM18" s="91">
        <v>90</v>
      </c>
      <c r="AN18" s="352">
        <f t="shared" si="0"/>
        <v>150</v>
      </c>
      <c r="AO18" s="97"/>
    </row>
    <row r="19" spans="1:42" s="53" customFormat="1" ht="15" x14ac:dyDescent="0.2">
      <c r="A19" s="20"/>
      <c r="B19" s="319" t="s">
        <v>690</v>
      </c>
      <c r="C19" s="77" t="s">
        <v>526</v>
      </c>
      <c r="D19" s="90">
        <v>6</v>
      </c>
      <c r="E19" s="379" t="s">
        <v>686</v>
      </c>
      <c r="F19" s="320" t="s">
        <v>910</v>
      </c>
      <c r="G19" s="346" t="s">
        <v>23</v>
      </c>
      <c r="H19" s="347"/>
      <c r="I19" s="347"/>
      <c r="J19" s="347"/>
      <c r="K19" s="347" t="s">
        <v>23</v>
      </c>
      <c r="L19" s="348" t="s">
        <v>23</v>
      </c>
      <c r="M19" s="349"/>
      <c r="N19" s="347"/>
      <c r="O19" s="347"/>
      <c r="P19" s="347"/>
      <c r="Q19" s="347" t="s">
        <v>23</v>
      </c>
      <c r="R19" s="347"/>
      <c r="S19" s="347"/>
      <c r="T19" s="347"/>
      <c r="U19" s="347"/>
      <c r="V19" s="347"/>
      <c r="W19" s="347"/>
      <c r="X19" s="347"/>
      <c r="Y19" s="347"/>
      <c r="Z19" s="348"/>
      <c r="AA19" s="350">
        <v>2</v>
      </c>
      <c r="AB19" s="91"/>
      <c r="AC19" s="91"/>
      <c r="AD19" s="91"/>
      <c r="AE19" s="91"/>
      <c r="AF19" s="91"/>
      <c r="AG19" s="91">
        <v>30</v>
      </c>
      <c r="AH19" s="91"/>
      <c r="AI19" s="91"/>
      <c r="AJ19" s="91">
        <v>30</v>
      </c>
      <c r="AK19" s="91">
        <v>88</v>
      </c>
      <c r="AL19" s="350">
        <v>64</v>
      </c>
      <c r="AM19" s="91">
        <v>86</v>
      </c>
      <c r="AN19" s="352">
        <f t="shared" si="0"/>
        <v>150</v>
      </c>
      <c r="AO19" s="97"/>
    </row>
    <row r="20" spans="1:42" s="53" customFormat="1" ht="15" x14ac:dyDescent="0.2">
      <c r="A20" s="20"/>
      <c r="B20" s="319" t="s">
        <v>691</v>
      </c>
      <c r="C20" s="77" t="s">
        <v>527</v>
      </c>
      <c r="D20" s="90">
        <v>3</v>
      </c>
      <c r="E20" s="379" t="s">
        <v>686</v>
      </c>
      <c r="F20" s="320" t="s">
        <v>911</v>
      </c>
      <c r="G20" s="346" t="s">
        <v>23</v>
      </c>
      <c r="H20" s="347"/>
      <c r="I20" s="347"/>
      <c r="J20" s="347" t="s">
        <v>23</v>
      </c>
      <c r="K20" s="347" t="s">
        <v>23</v>
      </c>
      <c r="L20" s="348" t="s">
        <v>23</v>
      </c>
      <c r="M20" s="349"/>
      <c r="N20" s="347"/>
      <c r="O20" s="347"/>
      <c r="P20" s="347"/>
      <c r="Q20" s="347" t="s">
        <v>23</v>
      </c>
      <c r="R20" s="347"/>
      <c r="S20" s="347" t="s">
        <v>23</v>
      </c>
      <c r="T20" s="347"/>
      <c r="U20" s="347"/>
      <c r="V20" s="347"/>
      <c r="W20" s="347"/>
      <c r="X20" s="347"/>
      <c r="Y20" s="347" t="s">
        <v>23</v>
      </c>
      <c r="Z20" s="348"/>
      <c r="AA20" s="350"/>
      <c r="AB20" s="91"/>
      <c r="AC20" s="91"/>
      <c r="AD20" s="91"/>
      <c r="AE20" s="91"/>
      <c r="AF20" s="91"/>
      <c r="AG20" s="91">
        <v>2</v>
      </c>
      <c r="AH20" s="91"/>
      <c r="AI20" s="91"/>
      <c r="AJ20" s="91">
        <v>14</v>
      </c>
      <c r="AK20" s="91">
        <v>59</v>
      </c>
      <c r="AL20" s="350">
        <v>30</v>
      </c>
      <c r="AM20" s="91">
        <v>45</v>
      </c>
      <c r="AN20" s="352">
        <f t="shared" si="0"/>
        <v>75</v>
      </c>
      <c r="AO20" s="97"/>
    </row>
    <row r="21" spans="1:42" s="53" customFormat="1" ht="15" x14ac:dyDescent="0.2">
      <c r="A21" s="20"/>
      <c r="B21" s="319">
        <v>37204012</v>
      </c>
      <c r="C21" s="77" t="s">
        <v>896</v>
      </c>
      <c r="D21" s="90">
        <v>3</v>
      </c>
      <c r="E21" s="379" t="s">
        <v>686</v>
      </c>
      <c r="F21" s="320" t="s">
        <v>912</v>
      </c>
      <c r="G21" s="346" t="s">
        <v>23</v>
      </c>
      <c r="H21" s="347"/>
      <c r="I21" s="347"/>
      <c r="J21" s="347"/>
      <c r="K21" s="347" t="s">
        <v>23</v>
      </c>
      <c r="L21" s="348" t="s">
        <v>23</v>
      </c>
      <c r="M21" s="349"/>
      <c r="N21" s="347"/>
      <c r="O21" s="347"/>
      <c r="P21" s="347"/>
      <c r="Q21" s="348" t="s">
        <v>23</v>
      </c>
      <c r="R21" s="347"/>
      <c r="S21" s="347"/>
      <c r="T21" s="347"/>
      <c r="U21" s="347"/>
      <c r="V21" s="347"/>
      <c r="W21" s="347"/>
      <c r="X21" s="347"/>
      <c r="Y21" s="347"/>
      <c r="Z21" s="348"/>
      <c r="AA21" s="350"/>
      <c r="AB21" s="91"/>
      <c r="AC21" s="91"/>
      <c r="AD21" s="91">
        <v>4</v>
      </c>
      <c r="AE21" s="91"/>
      <c r="AF21" s="91"/>
      <c r="AG21" s="91">
        <v>12</v>
      </c>
      <c r="AH21" s="91"/>
      <c r="AI21" s="91"/>
      <c r="AJ21" s="91">
        <v>4</v>
      </c>
      <c r="AK21" s="91">
        <v>55</v>
      </c>
      <c r="AL21" s="350">
        <v>30</v>
      </c>
      <c r="AM21" s="91">
        <v>45</v>
      </c>
      <c r="AN21" s="352">
        <f t="shared" si="0"/>
        <v>75</v>
      </c>
      <c r="AO21" s="97"/>
    </row>
    <row r="22" spans="1:42" s="53" customFormat="1" ht="21" x14ac:dyDescent="0.2">
      <c r="A22" s="20"/>
      <c r="B22" s="319" t="s">
        <v>692</v>
      </c>
      <c r="C22" s="77" t="s">
        <v>528</v>
      </c>
      <c r="D22" s="90">
        <v>6</v>
      </c>
      <c r="E22" s="379" t="s">
        <v>686</v>
      </c>
      <c r="F22" s="320" t="s">
        <v>913</v>
      </c>
      <c r="G22" s="346" t="s">
        <v>23</v>
      </c>
      <c r="H22" s="347"/>
      <c r="I22" s="347"/>
      <c r="J22" s="347" t="s">
        <v>23</v>
      </c>
      <c r="K22" s="347" t="s">
        <v>23</v>
      </c>
      <c r="L22" s="348" t="s">
        <v>23</v>
      </c>
      <c r="M22" s="349"/>
      <c r="N22" s="347"/>
      <c r="O22" s="347"/>
      <c r="P22" s="347"/>
      <c r="Q22" s="347" t="s">
        <v>23</v>
      </c>
      <c r="R22" s="347"/>
      <c r="S22" s="347"/>
      <c r="T22" s="347"/>
      <c r="U22" s="347" t="s">
        <v>23</v>
      </c>
      <c r="V22" s="347"/>
      <c r="W22" s="347"/>
      <c r="X22" s="347"/>
      <c r="Y22" s="347" t="s">
        <v>23</v>
      </c>
      <c r="Z22" s="348"/>
      <c r="AA22" s="350">
        <v>2</v>
      </c>
      <c r="AB22" s="91"/>
      <c r="AC22" s="91"/>
      <c r="AD22" s="91">
        <v>63</v>
      </c>
      <c r="AE22" s="91"/>
      <c r="AF22" s="91"/>
      <c r="AG22" s="91">
        <v>26</v>
      </c>
      <c r="AH22" s="91"/>
      <c r="AI22" s="91"/>
      <c r="AJ22" s="91">
        <v>16</v>
      </c>
      <c r="AK22" s="91">
        <v>43</v>
      </c>
      <c r="AL22" s="350">
        <v>60</v>
      </c>
      <c r="AM22" s="91">
        <v>90</v>
      </c>
      <c r="AN22" s="352">
        <f t="shared" si="0"/>
        <v>150</v>
      </c>
      <c r="AO22" s="97"/>
    </row>
    <row r="23" spans="1:42" s="53" customFormat="1" ht="21" x14ac:dyDescent="0.2">
      <c r="A23" s="20"/>
      <c r="B23" s="319" t="s">
        <v>694</v>
      </c>
      <c r="C23" s="77" t="s">
        <v>529</v>
      </c>
      <c r="D23" s="90">
        <v>6</v>
      </c>
      <c r="E23" s="379" t="s">
        <v>686</v>
      </c>
      <c r="F23" s="320" t="s">
        <v>913</v>
      </c>
      <c r="G23" s="346" t="s">
        <v>23</v>
      </c>
      <c r="H23" s="347"/>
      <c r="I23" s="347"/>
      <c r="J23" s="347" t="s">
        <v>23</v>
      </c>
      <c r="K23" s="347" t="s">
        <v>23</v>
      </c>
      <c r="L23" s="348" t="s">
        <v>23</v>
      </c>
      <c r="M23" s="349"/>
      <c r="N23" s="347"/>
      <c r="O23" s="347"/>
      <c r="P23" s="347"/>
      <c r="Q23" s="347" t="s">
        <v>23</v>
      </c>
      <c r="R23" s="347"/>
      <c r="S23" s="347"/>
      <c r="T23" s="347"/>
      <c r="U23" s="347" t="s">
        <v>23</v>
      </c>
      <c r="V23" s="347"/>
      <c r="W23" s="347"/>
      <c r="X23" s="347"/>
      <c r="Y23" s="347" t="s">
        <v>23</v>
      </c>
      <c r="Z23" s="348"/>
      <c r="AA23" s="350">
        <v>2</v>
      </c>
      <c r="AB23" s="91"/>
      <c r="AC23" s="91"/>
      <c r="AD23" s="91">
        <v>63</v>
      </c>
      <c r="AE23" s="91"/>
      <c r="AF23" s="91"/>
      <c r="AG23" s="91">
        <v>26</v>
      </c>
      <c r="AH23" s="91"/>
      <c r="AI23" s="91"/>
      <c r="AJ23" s="91">
        <v>8</v>
      </c>
      <c r="AK23" s="91">
        <v>43</v>
      </c>
      <c r="AL23" s="350">
        <v>60</v>
      </c>
      <c r="AM23" s="91">
        <v>90</v>
      </c>
      <c r="AN23" s="352">
        <f t="shared" si="0"/>
        <v>150</v>
      </c>
      <c r="AO23" s="97"/>
      <c r="AP23" s="380"/>
    </row>
    <row r="24" spans="1:42" s="53" customFormat="1" ht="15" x14ac:dyDescent="0.2">
      <c r="A24" s="20"/>
      <c r="B24" s="321">
        <v>37204013</v>
      </c>
      <c r="C24" s="322" t="s">
        <v>897</v>
      </c>
      <c r="D24" s="381">
        <v>3</v>
      </c>
      <c r="E24" s="382" t="s">
        <v>686</v>
      </c>
      <c r="F24" s="323" t="s">
        <v>912</v>
      </c>
      <c r="G24" s="346" t="s">
        <v>23</v>
      </c>
      <c r="H24" s="347"/>
      <c r="I24" s="347"/>
      <c r="J24" s="347"/>
      <c r="K24" s="347" t="s">
        <v>23</v>
      </c>
      <c r="L24" s="348" t="s">
        <v>23</v>
      </c>
      <c r="M24" s="349"/>
      <c r="N24" s="347"/>
      <c r="O24" s="347"/>
      <c r="P24" s="347"/>
      <c r="Q24" s="348" t="s">
        <v>23</v>
      </c>
      <c r="R24" s="347"/>
      <c r="S24" s="347"/>
      <c r="T24" s="347"/>
      <c r="U24" s="347"/>
      <c r="V24" s="347"/>
      <c r="W24" s="347"/>
      <c r="X24" s="347"/>
      <c r="Y24" s="347"/>
      <c r="Z24" s="348"/>
      <c r="AA24" s="350">
        <v>1</v>
      </c>
      <c r="AB24" s="91"/>
      <c r="AC24" s="91"/>
      <c r="AD24" s="91"/>
      <c r="AE24" s="91"/>
      <c r="AF24" s="91"/>
      <c r="AG24" s="91">
        <v>22</v>
      </c>
      <c r="AH24" s="91"/>
      <c r="AI24" s="91"/>
      <c r="AJ24" s="91">
        <v>8</v>
      </c>
      <c r="AK24" s="91">
        <v>44</v>
      </c>
      <c r="AL24" s="354">
        <v>30</v>
      </c>
      <c r="AM24" s="355">
        <v>45</v>
      </c>
      <c r="AN24" s="352">
        <f t="shared" si="0"/>
        <v>75</v>
      </c>
      <c r="AO24" s="97"/>
    </row>
    <row r="25" spans="1:42" s="53" customFormat="1" ht="15.75" thickBot="1" x14ac:dyDescent="0.25">
      <c r="A25" s="20"/>
      <c r="B25" s="324" t="s">
        <v>695</v>
      </c>
      <c r="C25" s="82" t="s">
        <v>530</v>
      </c>
      <c r="D25" s="93">
        <v>3</v>
      </c>
      <c r="E25" s="383" t="s">
        <v>686</v>
      </c>
      <c r="F25" s="325" t="s">
        <v>914</v>
      </c>
      <c r="G25" s="356" t="s">
        <v>23</v>
      </c>
      <c r="H25" s="357"/>
      <c r="I25" s="357"/>
      <c r="J25" s="357" t="s">
        <v>23</v>
      </c>
      <c r="K25" s="357" t="s">
        <v>23</v>
      </c>
      <c r="L25" s="358" t="s">
        <v>23</v>
      </c>
      <c r="M25" s="359"/>
      <c r="N25" s="357"/>
      <c r="O25" s="357"/>
      <c r="P25" s="357"/>
      <c r="Q25" s="357" t="s">
        <v>23</v>
      </c>
      <c r="R25" s="357"/>
      <c r="S25" s="357"/>
      <c r="T25" s="357"/>
      <c r="U25" s="357" t="s">
        <v>23</v>
      </c>
      <c r="V25" s="357"/>
      <c r="W25" s="357"/>
      <c r="X25" s="357"/>
      <c r="Y25" s="357"/>
      <c r="Z25" s="358"/>
      <c r="AA25" s="360">
        <v>2</v>
      </c>
      <c r="AB25" s="361"/>
      <c r="AC25" s="361"/>
      <c r="AD25" s="361">
        <v>48</v>
      </c>
      <c r="AE25" s="361"/>
      <c r="AF25" s="361"/>
      <c r="AG25" s="361">
        <v>12</v>
      </c>
      <c r="AH25" s="361"/>
      <c r="AI25" s="361"/>
      <c r="AJ25" s="361">
        <v>9</v>
      </c>
      <c r="AK25" s="361">
        <v>4</v>
      </c>
      <c r="AL25" s="354">
        <v>30</v>
      </c>
      <c r="AM25" s="355">
        <v>45</v>
      </c>
      <c r="AN25" s="362">
        <f t="shared" si="0"/>
        <v>75</v>
      </c>
      <c r="AO25" s="97"/>
    </row>
    <row r="26" spans="1:42" s="53" customFormat="1" ht="15" x14ac:dyDescent="0.2">
      <c r="A26" s="20"/>
      <c r="B26" s="326" t="s">
        <v>696</v>
      </c>
      <c r="C26" s="84" t="s">
        <v>531</v>
      </c>
      <c r="D26" s="90">
        <v>6</v>
      </c>
      <c r="E26" s="86" t="s">
        <v>697</v>
      </c>
      <c r="F26" s="327" t="s">
        <v>908</v>
      </c>
      <c r="G26" s="339" t="s">
        <v>23</v>
      </c>
      <c r="H26" s="340"/>
      <c r="I26" s="340"/>
      <c r="J26" s="340" t="s">
        <v>23</v>
      </c>
      <c r="K26" s="340" t="s">
        <v>23</v>
      </c>
      <c r="L26" s="341" t="s">
        <v>23</v>
      </c>
      <c r="M26" s="342"/>
      <c r="N26" s="340"/>
      <c r="O26" s="340"/>
      <c r="P26" s="340"/>
      <c r="Q26" s="341" t="s">
        <v>23</v>
      </c>
      <c r="R26" s="340"/>
      <c r="S26" s="340"/>
      <c r="T26" s="340"/>
      <c r="U26" s="340"/>
      <c r="V26" s="340"/>
      <c r="W26" s="340"/>
      <c r="X26" s="340"/>
      <c r="Y26" s="340"/>
      <c r="Z26" s="341"/>
      <c r="AA26" s="363"/>
      <c r="AB26" s="364"/>
      <c r="AC26" s="364">
        <v>27</v>
      </c>
      <c r="AD26" s="364"/>
      <c r="AE26" s="364"/>
      <c r="AF26" s="364">
        <v>3</v>
      </c>
      <c r="AG26" s="364">
        <v>3</v>
      </c>
      <c r="AH26" s="364"/>
      <c r="AI26" s="364"/>
      <c r="AJ26" s="364">
        <v>59</v>
      </c>
      <c r="AK26" s="364">
        <v>58</v>
      </c>
      <c r="AL26" s="363">
        <v>60</v>
      </c>
      <c r="AM26" s="364">
        <v>90</v>
      </c>
      <c r="AN26" s="345">
        <f t="shared" si="0"/>
        <v>150</v>
      </c>
      <c r="AO26" s="97"/>
    </row>
    <row r="27" spans="1:42" s="53" customFormat="1" ht="15" x14ac:dyDescent="0.2">
      <c r="A27" s="20"/>
      <c r="B27" s="326" t="s">
        <v>698</v>
      </c>
      <c r="C27" s="84" t="s">
        <v>532</v>
      </c>
      <c r="D27" s="90">
        <v>3</v>
      </c>
      <c r="E27" s="89" t="s">
        <v>697</v>
      </c>
      <c r="F27" s="328" t="s">
        <v>915</v>
      </c>
      <c r="G27" s="346" t="s">
        <v>23</v>
      </c>
      <c r="H27" s="347" t="s">
        <v>23</v>
      </c>
      <c r="I27" s="347"/>
      <c r="J27" s="347" t="s">
        <v>23</v>
      </c>
      <c r="K27" s="347" t="s">
        <v>23</v>
      </c>
      <c r="L27" s="348"/>
      <c r="M27" s="349"/>
      <c r="N27" s="347"/>
      <c r="O27" s="347"/>
      <c r="P27" s="347"/>
      <c r="Q27" s="347" t="s">
        <v>23</v>
      </c>
      <c r="R27" s="347"/>
      <c r="S27" s="347" t="s">
        <v>23</v>
      </c>
      <c r="T27" s="347"/>
      <c r="U27" s="347"/>
      <c r="V27" s="347"/>
      <c r="W27" s="347"/>
      <c r="X27" s="347"/>
      <c r="Y27" s="347"/>
      <c r="Z27" s="348"/>
      <c r="AA27" s="365">
        <v>1</v>
      </c>
      <c r="AB27" s="366"/>
      <c r="AC27" s="366">
        <v>2</v>
      </c>
      <c r="AD27" s="366"/>
      <c r="AE27" s="366"/>
      <c r="AF27" s="366"/>
      <c r="AG27" s="366">
        <v>2</v>
      </c>
      <c r="AH27" s="366"/>
      <c r="AI27" s="366">
        <v>11</v>
      </c>
      <c r="AJ27" s="366">
        <v>20</v>
      </c>
      <c r="AK27" s="366">
        <v>39</v>
      </c>
      <c r="AL27" s="365">
        <v>34</v>
      </c>
      <c r="AM27" s="366">
        <v>41</v>
      </c>
      <c r="AN27" s="352">
        <f t="shared" si="0"/>
        <v>75</v>
      </c>
      <c r="AO27" s="97"/>
    </row>
    <row r="28" spans="1:42" s="53" customFormat="1" ht="15" x14ac:dyDescent="0.2">
      <c r="A28" s="20"/>
      <c r="B28" s="326" t="s">
        <v>699</v>
      </c>
      <c r="C28" s="84" t="s">
        <v>533</v>
      </c>
      <c r="D28" s="90">
        <v>6</v>
      </c>
      <c r="E28" s="89" t="s">
        <v>697</v>
      </c>
      <c r="F28" s="328" t="s">
        <v>916</v>
      </c>
      <c r="G28" s="346" t="s">
        <v>23</v>
      </c>
      <c r="H28" s="347"/>
      <c r="I28" s="347"/>
      <c r="J28" s="347" t="s">
        <v>23</v>
      </c>
      <c r="K28" s="347" t="s">
        <v>23</v>
      </c>
      <c r="L28" s="348"/>
      <c r="M28" s="349"/>
      <c r="N28" s="347"/>
      <c r="O28" s="347"/>
      <c r="P28" s="347"/>
      <c r="Q28" s="347" t="s">
        <v>23</v>
      </c>
      <c r="R28" s="347"/>
      <c r="S28" s="347"/>
      <c r="T28" s="347"/>
      <c r="U28" s="347" t="s">
        <v>23</v>
      </c>
      <c r="V28" s="347"/>
      <c r="W28" s="347"/>
      <c r="X28" s="347"/>
      <c r="Y28" s="347"/>
      <c r="Z28" s="348"/>
      <c r="AA28" s="365"/>
      <c r="AB28" s="366"/>
      <c r="AC28" s="366">
        <v>2</v>
      </c>
      <c r="AD28" s="366">
        <v>38</v>
      </c>
      <c r="AE28" s="366"/>
      <c r="AF28" s="366"/>
      <c r="AG28" s="366">
        <v>15</v>
      </c>
      <c r="AH28" s="366"/>
      <c r="AI28" s="366"/>
      <c r="AJ28" s="366"/>
      <c r="AK28" s="366">
        <v>95</v>
      </c>
      <c r="AL28" s="365">
        <v>60</v>
      </c>
      <c r="AM28" s="366">
        <v>90</v>
      </c>
      <c r="AN28" s="352">
        <f t="shared" si="0"/>
        <v>150</v>
      </c>
      <c r="AO28" s="97"/>
    </row>
    <row r="29" spans="1:42" s="53" customFormat="1" ht="15" x14ac:dyDescent="0.2">
      <c r="A29" s="20"/>
      <c r="B29" s="326" t="s">
        <v>700</v>
      </c>
      <c r="C29" s="84" t="s">
        <v>534</v>
      </c>
      <c r="D29" s="90">
        <v>6</v>
      </c>
      <c r="E29" s="89" t="s">
        <v>697</v>
      </c>
      <c r="F29" s="328" t="s">
        <v>910</v>
      </c>
      <c r="G29" s="346" t="s">
        <v>23</v>
      </c>
      <c r="H29" s="347"/>
      <c r="I29" s="347"/>
      <c r="J29" s="347" t="s">
        <v>23</v>
      </c>
      <c r="K29" s="347" t="s">
        <v>23</v>
      </c>
      <c r="L29" s="348" t="s">
        <v>23</v>
      </c>
      <c r="M29" s="349"/>
      <c r="N29" s="347"/>
      <c r="O29" s="347"/>
      <c r="P29" s="347"/>
      <c r="Q29" s="348" t="s">
        <v>23</v>
      </c>
      <c r="R29" s="347"/>
      <c r="S29" s="347"/>
      <c r="T29" s="347"/>
      <c r="U29" s="347"/>
      <c r="V29" s="347"/>
      <c r="W29" s="347"/>
      <c r="X29" s="347"/>
      <c r="Y29" s="347"/>
      <c r="Z29" s="348"/>
      <c r="AA29" s="365">
        <v>1</v>
      </c>
      <c r="AB29" s="366"/>
      <c r="AC29" s="366"/>
      <c r="AD29" s="366">
        <v>50</v>
      </c>
      <c r="AE29" s="366"/>
      <c r="AF29" s="366"/>
      <c r="AG29" s="366">
        <v>4</v>
      </c>
      <c r="AH29" s="366"/>
      <c r="AI29" s="366"/>
      <c r="AJ29" s="366">
        <v>16</v>
      </c>
      <c r="AK29" s="366">
        <v>79</v>
      </c>
      <c r="AL29" s="365">
        <v>62</v>
      </c>
      <c r="AM29" s="366">
        <v>88</v>
      </c>
      <c r="AN29" s="352">
        <f t="shared" si="0"/>
        <v>150</v>
      </c>
      <c r="AO29" s="97"/>
    </row>
    <row r="30" spans="1:42" s="53" customFormat="1" ht="21" x14ac:dyDescent="0.2">
      <c r="A30" s="20"/>
      <c r="B30" s="326" t="s">
        <v>701</v>
      </c>
      <c r="C30" s="84" t="s">
        <v>535</v>
      </c>
      <c r="D30" s="90">
        <v>3</v>
      </c>
      <c r="E30" s="89" t="s">
        <v>697</v>
      </c>
      <c r="F30" s="328" t="s">
        <v>917</v>
      </c>
      <c r="G30" s="346" t="s">
        <v>23</v>
      </c>
      <c r="H30" s="347"/>
      <c r="I30" s="347"/>
      <c r="J30" s="347" t="s">
        <v>23</v>
      </c>
      <c r="K30" s="347" t="s">
        <v>23</v>
      </c>
      <c r="L30" s="348"/>
      <c r="M30" s="349"/>
      <c r="N30" s="347"/>
      <c r="O30" s="347" t="s">
        <v>23</v>
      </c>
      <c r="P30" s="347"/>
      <c r="Q30" s="347" t="s">
        <v>23</v>
      </c>
      <c r="R30" s="347"/>
      <c r="S30" s="347"/>
      <c r="T30" s="347"/>
      <c r="U30" s="347" t="s">
        <v>23</v>
      </c>
      <c r="V30" s="347"/>
      <c r="W30" s="347"/>
      <c r="X30" s="347"/>
      <c r="Y30" s="347"/>
      <c r="Z30" s="348"/>
      <c r="AA30" s="365"/>
      <c r="AB30" s="366"/>
      <c r="AC30" s="366"/>
      <c r="AD30" s="366">
        <v>8</v>
      </c>
      <c r="AE30" s="366"/>
      <c r="AF30" s="366"/>
      <c r="AG30" s="366">
        <v>27</v>
      </c>
      <c r="AH30" s="366"/>
      <c r="AI30" s="366"/>
      <c r="AJ30" s="366">
        <v>4</v>
      </c>
      <c r="AK30" s="366">
        <v>36</v>
      </c>
      <c r="AL30" s="365">
        <v>34</v>
      </c>
      <c r="AM30" s="366">
        <v>41</v>
      </c>
      <c r="AN30" s="352">
        <f t="shared" si="0"/>
        <v>75</v>
      </c>
      <c r="AO30" s="97"/>
    </row>
    <row r="31" spans="1:42" s="53" customFormat="1" ht="15" x14ac:dyDescent="0.2">
      <c r="A31" s="20"/>
      <c r="B31" s="326" t="s">
        <v>702</v>
      </c>
      <c r="C31" s="84" t="s">
        <v>536</v>
      </c>
      <c r="D31" s="90">
        <v>3</v>
      </c>
      <c r="E31" s="89" t="s">
        <v>697</v>
      </c>
      <c r="F31" s="328" t="s">
        <v>908</v>
      </c>
      <c r="G31" s="346"/>
      <c r="H31" s="347"/>
      <c r="I31" s="347"/>
      <c r="J31" s="347" t="s">
        <v>23</v>
      </c>
      <c r="K31" s="347" t="s">
        <v>23</v>
      </c>
      <c r="L31" s="348" t="s">
        <v>23</v>
      </c>
      <c r="M31" s="349"/>
      <c r="N31" s="347"/>
      <c r="O31" s="347"/>
      <c r="P31" s="347"/>
      <c r="Q31" s="347"/>
      <c r="R31" s="347"/>
      <c r="S31" s="347" t="s">
        <v>23</v>
      </c>
      <c r="T31" s="347"/>
      <c r="U31" s="347"/>
      <c r="V31" s="347"/>
      <c r="W31" s="347"/>
      <c r="X31" s="347"/>
      <c r="Y31" s="347"/>
      <c r="Z31" s="348"/>
      <c r="AA31" s="365">
        <v>4</v>
      </c>
      <c r="AB31" s="366"/>
      <c r="AC31" s="366"/>
      <c r="AD31" s="366"/>
      <c r="AE31" s="366"/>
      <c r="AF31" s="366"/>
      <c r="AG31" s="366">
        <v>13</v>
      </c>
      <c r="AH31" s="366"/>
      <c r="AI31" s="366">
        <v>34</v>
      </c>
      <c r="AJ31" s="366">
        <v>24</v>
      </c>
      <c r="AK31" s="366"/>
      <c r="AL31" s="365">
        <v>30</v>
      </c>
      <c r="AM31" s="366">
        <v>45</v>
      </c>
      <c r="AN31" s="352">
        <f t="shared" si="0"/>
        <v>75</v>
      </c>
      <c r="AO31" s="97"/>
    </row>
    <row r="32" spans="1:42" s="53" customFormat="1" ht="31.5" x14ac:dyDescent="0.2">
      <c r="A32" s="20"/>
      <c r="B32" s="326" t="s">
        <v>703</v>
      </c>
      <c r="C32" s="84" t="s">
        <v>537</v>
      </c>
      <c r="D32" s="90">
        <v>5</v>
      </c>
      <c r="E32" s="89" t="s">
        <v>697</v>
      </c>
      <c r="F32" s="328" t="s">
        <v>918</v>
      </c>
      <c r="G32" s="346" t="s">
        <v>23</v>
      </c>
      <c r="H32" s="347"/>
      <c r="I32" s="347" t="s">
        <v>23</v>
      </c>
      <c r="J32" s="347" t="s">
        <v>23</v>
      </c>
      <c r="K32" s="347" t="s">
        <v>23</v>
      </c>
      <c r="L32" s="348"/>
      <c r="M32" s="349"/>
      <c r="N32" s="347"/>
      <c r="O32" s="347"/>
      <c r="P32" s="347" t="s">
        <v>23</v>
      </c>
      <c r="Q32" s="347" t="s">
        <v>23</v>
      </c>
      <c r="R32" s="347"/>
      <c r="S32" s="347"/>
      <c r="T32" s="347"/>
      <c r="U32" s="347" t="s">
        <v>23</v>
      </c>
      <c r="V32" s="347"/>
      <c r="W32" s="347"/>
      <c r="X32" s="347"/>
      <c r="Y32" s="347"/>
      <c r="Z32" s="348"/>
      <c r="AA32" s="365">
        <v>1</v>
      </c>
      <c r="AB32" s="366"/>
      <c r="AC32" s="366"/>
      <c r="AD32" s="366">
        <v>50</v>
      </c>
      <c r="AE32" s="366"/>
      <c r="AF32" s="366"/>
      <c r="AG32" s="366">
        <v>38</v>
      </c>
      <c r="AH32" s="366"/>
      <c r="AI32" s="366"/>
      <c r="AJ32" s="366"/>
      <c r="AK32" s="366">
        <v>36</v>
      </c>
      <c r="AL32" s="365">
        <v>56</v>
      </c>
      <c r="AM32" s="366">
        <v>69</v>
      </c>
      <c r="AN32" s="352">
        <f t="shared" si="0"/>
        <v>125</v>
      </c>
      <c r="AO32" s="97"/>
    </row>
    <row r="33" spans="1:42" s="53" customFormat="1" ht="15" x14ac:dyDescent="0.2">
      <c r="A33" s="20"/>
      <c r="B33" s="326" t="s">
        <v>704</v>
      </c>
      <c r="C33" s="84" t="s">
        <v>538</v>
      </c>
      <c r="D33" s="90">
        <v>6</v>
      </c>
      <c r="E33" s="89" t="s">
        <v>697</v>
      </c>
      <c r="F33" s="328" t="s">
        <v>915</v>
      </c>
      <c r="G33" s="346" t="s">
        <v>23</v>
      </c>
      <c r="H33" s="347"/>
      <c r="I33" s="347"/>
      <c r="J33" s="347"/>
      <c r="K33" s="347" t="s">
        <v>23</v>
      </c>
      <c r="L33" s="348" t="s">
        <v>23</v>
      </c>
      <c r="M33" s="349"/>
      <c r="N33" s="347"/>
      <c r="O33" s="347" t="s">
        <v>23</v>
      </c>
      <c r="P33" s="347"/>
      <c r="Q33" s="347" t="s">
        <v>23</v>
      </c>
      <c r="R33" s="347"/>
      <c r="S33" s="347"/>
      <c r="T33" s="347"/>
      <c r="U33" s="347"/>
      <c r="V33" s="347"/>
      <c r="W33" s="347"/>
      <c r="X33" s="347"/>
      <c r="Y33" s="347"/>
      <c r="Z33" s="348"/>
      <c r="AA33" s="365"/>
      <c r="AB33" s="366"/>
      <c r="AC33" s="366"/>
      <c r="AD33" s="366"/>
      <c r="AE33" s="366"/>
      <c r="AF33" s="366"/>
      <c r="AG33" s="366">
        <v>22</v>
      </c>
      <c r="AH33" s="366"/>
      <c r="AI33" s="366"/>
      <c r="AJ33" s="366">
        <v>12</v>
      </c>
      <c r="AK33" s="366">
        <v>116</v>
      </c>
      <c r="AL33" s="365">
        <v>64</v>
      </c>
      <c r="AM33" s="387">
        <v>86</v>
      </c>
      <c r="AN33" s="352">
        <f t="shared" si="0"/>
        <v>150</v>
      </c>
      <c r="AO33" s="97"/>
    </row>
    <row r="34" spans="1:42" s="53" customFormat="1" ht="15" x14ac:dyDescent="0.2">
      <c r="A34" s="20"/>
      <c r="B34" s="326" t="s">
        <v>706</v>
      </c>
      <c r="C34" s="84" t="s">
        <v>539</v>
      </c>
      <c r="D34" s="90">
        <v>6</v>
      </c>
      <c r="E34" s="89" t="s">
        <v>697</v>
      </c>
      <c r="F34" s="328" t="s">
        <v>919</v>
      </c>
      <c r="G34" s="346"/>
      <c r="H34" s="347" t="s">
        <v>23</v>
      </c>
      <c r="I34" s="347" t="s">
        <v>23</v>
      </c>
      <c r="J34" s="347" t="s">
        <v>23</v>
      </c>
      <c r="K34" s="347"/>
      <c r="L34" s="348"/>
      <c r="M34" s="349"/>
      <c r="N34" s="347"/>
      <c r="O34" s="347" t="s">
        <v>23</v>
      </c>
      <c r="P34" s="347"/>
      <c r="Q34" s="347"/>
      <c r="R34" s="347"/>
      <c r="S34" s="347"/>
      <c r="T34" s="347"/>
      <c r="U34" s="347"/>
      <c r="V34" s="347"/>
      <c r="W34" s="347"/>
      <c r="X34" s="347" t="s">
        <v>23</v>
      </c>
      <c r="Y34" s="347"/>
      <c r="Z34" s="348"/>
      <c r="AA34" s="365">
        <v>2</v>
      </c>
      <c r="AB34" s="366"/>
      <c r="AC34" s="366">
        <v>3</v>
      </c>
      <c r="AD34" s="366">
        <v>150</v>
      </c>
      <c r="AE34" s="366">
        <v>21</v>
      </c>
      <c r="AF34" s="366"/>
      <c r="AG34" s="366"/>
      <c r="AH34" s="366"/>
      <c r="AI34" s="366"/>
      <c r="AJ34" s="366"/>
      <c r="AK34" s="366"/>
      <c r="AL34" s="365">
        <v>156</v>
      </c>
      <c r="AM34" s="366">
        <v>20</v>
      </c>
      <c r="AN34" s="352">
        <f t="shared" si="0"/>
        <v>176</v>
      </c>
      <c r="AO34" s="97"/>
    </row>
    <row r="35" spans="1:42" s="53" customFormat="1" ht="21" x14ac:dyDescent="0.2">
      <c r="A35" s="20"/>
      <c r="B35" s="326" t="s">
        <v>707</v>
      </c>
      <c r="C35" s="84" t="s">
        <v>540</v>
      </c>
      <c r="D35" s="90">
        <v>6</v>
      </c>
      <c r="E35" s="89" t="s">
        <v>697</v>
      </c>
      <c r="F35" s="328" t="s">
        <v>913</v>
      </c>
      <c r="G35" s="346" t="s">
        <v>23</v>
      </c>
      <c r="H35" s="347"/>
      <c r="I35" s="347"/>
      <c r="J35" s="347" t="s">
        <v>23</v>
      </c>
      <c r="K35" s="347"/>
      <c r="L35" s="348" t="s">
        <v>23</v>
      </c>
      <c r="M35" s="349"/>
      <c r="N35" s="347"/>
      <c r="O35" s="347" t="s">
        <v>23</v>
      </c>
      <c r="P35" s="347"/>
      <c r="Q35" s="347" t="s">
        <v>23</v>
      </c>
      <c r="R35" s="347"/>
      <c r="S35" s="347" t="s">
        <v>23</v>
      </c>
      <c r="T35" s="347"/>
      <c r="U35" s="347"/>
      <c r="V35" s="347"/>
      <c r="W35" s="347"/>
      <c r="X35" s="347"/>
      <c r="Y35" s="347"/>
      <c r="Z35" s="348"/>
      <c r="AA35" s="365">
        <v>2</v>
      </c>
      <c r="AB35" s="366"/>
      <c r="AC35" s="366"/>
      <c r="AD35" s="366">
        <v>63</v>
      </c>
      <c r="AE35" s="366"/>
      <c r="AF35" s="366"/>
      <c r="AG35" s="366">
        <v>26</v>
      </c>
      <c r="AH35" s="366"/>
      <c r="AI35" s="366"/>
      <c r="AJ35" s="366">
        <v>8</v>
      </c>
      <c r="AK35" s="366">
        <v>43</v>
      </c>
      <c r="AL35" s="365">
        <v>60</v>
      </c>
      <c r="AM35" s="366">
        <v>90</v>
      </c>
      <c r="AN35" s="352">
        <f t="shared" si="0"/>
        <v>150</v>
      </c>
      <c r="AO35" s="97"/>
      <c r="AP35" s="380"/>
    </row>
    <row r="36" spans="1:42" s="53" customFormat="1" ht="15" x14ac:dyDescent="0.2">
      <c r="A36" s="20"/>
      <c r="B36" s="326" t="s">
        <v>708</v>
      </c>
      <c r="C36" s="84" t="s">
        <v>541</v>
      </c>
      <c r="D36" s="90">
        <v>6</v>
      </c>
      <c r="E36" s="89" t="s">
        <v>697</v>
      </c>
      <c r="F36" s="328" t="s">
        <v>920</v>
      </c>
      <c r="G36" s="346" t="s">
        <v>23</v>
      </c>
      <c r="H36" s="347"/>
      <c r="I36" s="347"/>
      <c r="J36" s="347" t="s">
        <v>23</v>
      </c>
      <c r="K36" s="347" t="s">
        <v>23</v>
      </c>
      <c r="L36" s="348" t="s">
        <v>23</v>
      </c>
      <c r="M36" s="349"/>
      <c r="N36" s="347"/>
      <c r="O36" s="347"/>
      <c r="P36" s="347"/>
      <c r="Q36" s="347" t="s">
        <v>23</v>
      </c>
      <c r="R36" s="347"/>
      <c r="S36" s="347"/>
      <c r="T36" s="347"/>
      <c r="U36" s="347"/>
      <c r="V36" s="347"/>
      <c r="W36" s="347"/>
      <c r="X36" s="347"/>
      <c r="Y36" s="347"/>
      <c r="Z36" s="348"/>
      <c r="AA36" s="365">
        <v>1</v>
      </c>
      <c r="AB36" s="366"/>
      <c r="AC36" s="366"/>
      <c r="AD36" s="366">
        <v>8</v>
      </c>
      <c r="AE36" s="366"/>
      <c r="AF36" s="366"/>
      <c r="AG36" s="366">
        <v>34</v>
      </c>
      <c r="AH36" s="366"/>
      <c r="AI36" s="366"/>
      <c r="AJ36" s="366">
        <v>12</v>
      </c>
      <c r="AK36" s="366">
        <v>95</v>
      </c>
      <c r="AL36" s="365">
        <v>60</v>
      </c>
      <c r="AM36" s="366">
        <v>90</v>
      </c>
      <c r="AN36" s="352">
        <f t="shared" si="0"/>
        <v>150</v>
      </c>
      <c r="AO36" s="97"/>
    </row>
    <row r="37" spans="1:42" s="53" customFormat="1" ht="15.75" thickBot="1" x14ac:dyDescent="0.25">
      <c r="A37" s="20"/>
      <c r="B37" s="329" t="s">
        <v>709</v>
      </c>
      <c r="C37" s="85" t="s">
        <v>542</v>
      </c>
      <c r="D37" s="93">
        <v>4</v>
      </c>
      <c r="E37" s="92" t="s">
        <v>697</v>
      </c>
      <c r="F37" s="330" t="s">
        <v>914</v>
      </c>
      <c r="G37" s="356" t="s">
        <v>23</v>
      </c>
      <c r="H37" s="357"/>
      <c r="I37" s="357"/>
      <c r="J37" s="357" t="s">
        <v>23</v>
      </c>
      <c r="K37" s="357" t="s">
        <v>23</v>
      </c>
      <c r="L37" s="358" t="s">
        <v>23</v>
      </c>
      <c r="M37" s="359"/>
      <c r="N37" s="357"/>
      <c r="O37" s="357"/>
      <c r="P37" s="357"/>
      <c r="Q37" s="357"/>
      <c r="R37" s="357"/>
      <c r="S37" s="357"/>
      <c r="T37" s="357"/>
      <c r="U37" s="357" t="s">
        <v>23</v>
      </c>
      <c r="V37" s="357"/>
      <c r="W37" s="357"/>
      <c r="X37" s="357"/>
      <c r="Y37" s="357"/>
      <c r="Z37" s="358"/>
      <c r="AA37" s="367">
        <v>2</v>
      </c>
      <c r="AB37" s="105"/>
      <c r="AC37" s="105"/>
      <c r="AD37" s="105">
        <v>55</v>
      </c>
      <c r="AE37" s="105"/>
      <c r="AF37" s="105"/>
      <c r="AG37" s="105">
        <v>19</v>
      </c>
      <c r="AH37" s="105"/>
      <c r="AI37" s="105"/>
      <c r="AJ37" s="105">
        <v>8</v>
      </c>
      <c r="AK37" s="105">
        <v>16</v>
      </c>
      <c r="AL37" s="367">
        <v>40</v>
      </c>
      <c r="AM37" s="105">
        <v>60</v>
      </c>
      <c r="AN37" s="368">
        <f t="shared" si="0"/>
        <v>100</v>
      </c>
      <c r="AO37" s="97"/>
    </row>
    <row r="38" spans="1:42" s="53" customFormat="1" ht="21" x14ac:dyDescent="0.2">
      <c r="A38" s="20"/>
      <c r="B38" s="331">
        <v>37204218</v>
      </c>
      <c r="C38" s="74" t="s">
        <v>556</v>
      </c>
      <c r="D38" s="88">
        <v>3</v>
      </c>
      <c r="E38" s="86" t="s">
        <v>710</v>
      </c>
      <c r="F38" s="327" t="s">
        <v>921</v>
      </c>
      <c r="G38" s="339" t="s">
        <v>23</v>
      </c>
      <c r="H38" s="340" t="s">
        <v>23</v>
      </c>
      <c r="I38" s="340"/>
      <c r="J38" s="340" t="s">
        <v>23</v>
      </c>
      <c r="K38" s="340"/>
      <c r="L38" s="341" t="s">
        <v>23</v>
      </c>
      <c r="M38" s="342"/>
      <c r="N38" s="347"/>
      <c r="O38" s="340"/>
      <c r="P38" s="340"/>
      <c r="Q38" s="340" t="s">
        <v>23</v>
      </c>
      <c r="R38" s="340"/>
      <c r="S38" s="340" t="s">
        <v>23</v>
      </c>
      <c r="T38" s="340"/>
      <c r="U38" s="340"/>
      <c r="V38" s="340"/>
      <c r="W38" s="340"/>
      <c r="X38" s="340"/>
      <c r="Y38" s="340" t="s">
        <v>23</v>
      </c>
      <c r="Z38" s="341" t="s">
        <v>23</v>
      </c>
      <c r="AA38" s="363">
        <v>1</v>
      </c>
      <c r="AB38" s="364"/>
      <c r="AC38" s="364">
        <v>1</v>
      </c>
      <c r="AD38" s="364"/>
      <c r="AE38" s="364">
        <v>32</v>
      </c>
      <c r="AF38" s="364"/>
      <c r="AG38" s="364"/>
      <c r="AH38" s="364"/>
      <c r="AI38" s="364"/>
      <c r="AJ38" s="364">
        <v>29</v>
      </c>
      <c r="AK38" s="364">
        <v>2</v>
      </c>
      <c r="AL38" s="369">
        <v>30</v>
      </c>
      <c r="AM38" s="370">
        <v>35</v>
      </c>
      <c r="AN38" s="371">
        <f t="shared" si="0"/>
        <v>65</v>
      </c>
      <c r="AO38" s="97"/>
    </row>
    <row r="39" spans="1:42" s="53" customFormat="1" ht="15" x14ac:dyDescent="0.2">
      <c r="A39" s="20"/>
      <c r="B39" s="332">
        <v>37204104</v>
      </c>
      <c r="C39" s="333" t="s">
        <v>548</v>
      </c>
      <c r="D39" s="384">
        <v>5</v>
      </c>
      <c r="E39" s="334" t="s">
        <v>710</v>
      </c>
      <c r="F39" s="335" t="s">
        <v>915</v>
      </c>
      <c r="G39" s="372" t="s">
        <v>23</v>
      </c>
      <c r="H39" s="373" t="s">
        <v>23</v>
      </c>
      <c r="I39" s="373"/>
      <c r="J39" s="373" t="s">
        <v>23</v>
      </c>
      <c r="K39" s="373" t="s">
        <v>23</v>
      </c>
      <c r="L39" s="374" t="s">
        <v>23</v>
      </c>
      <c r="M39" s="375" t="s">
        <v>23</v>
      </c>
      <c r="N39" s="373"/>
      <c r="O39" s="373"/>
      <c r="P39" s="373"/>
      <c r="Q39" s="373" t="s">
        <v>23</v>
      </c>
      <c r="R39" s="373"/>
      <c r="S39" s="373" t="s">
        <v>23</v>
      </c>
      <c r="T39" s="373"/>
      <c r="U39" s="373"/>
      <c r="V39" s="373"/>
      <c r="W39" s="373"/>
      <c r="X39" s="373"/>
      <c r="Y39" s="373" t="s">
        <v>23</v>
      </c>
      <c r="Z39" s="374"/>
      <c r="AA39" s="369"/>
      <c r="AB39" s="370"/>
      <c r="AC39" s="370">
        <v>1</v>
      </c>
      <c r="AD39" s="370"/>
      <c r="AE39" s="370"/>
      <c r="AF39" s="370"/>
      <c r="AG39" s="370">
        <v>4</v>
      </c>
      <c r="AH39" s="370">
        <v>18</v>
      </c>
      <c r="AI39" s="370">
        <v>10</v>
      </c>
      <c r="AJ39" s="370"/>
      <c r="AK39" s="370">
        <v>92</v>
      </c>
      <c r="AL39" s="369">
        <v>50</v>
      </c>
      <c r="AM39" s="370">
        <v>75</v>
      </c>
      <c r="AN39" s="352">
        <f t="shared" si="0"/>
        <v>125</v>
      </c>
      <c r="AO39" s="97"/>
    </row>
    <row r="40" spans="1:42" s="53" customFormat="1" ht="21" x14ac:dyDescent="0.2">
      <c r="A40" s="20"/>
      <c r="B40" s="332">
        <v>37204111</v>
      </c>
      <c r="C40" s="333" t="s">
        <v>543</v>
      </c>
      <c r="D40" s="384">
        <v>3</v>
      </c>
      <c r="E40" s="334" t="s">
        <v>710</v>
      </c>
      <c r="F40" s="335" t="s">
        <v>917</v>
      </c>
      <c r="G40" s="372" t="s">
        <v>23</v>
      </c>
      <c r="H40" s="373"/>
      <c r="I40" s="373"/>
      <c r="J40" s="373" t="s">
        <v>23</v>
      </c>
      <c r="K40" s="373"/>
      <c r="L40" s="374" t="s">
        <v>23</v>
      </c>
      <c r="M40" s="375"/>
      <c r="N40" s="373"/>
      <c r="O40" s="373" t="s">
        <v>23</v>
      </c>
      <c r="P40" s="373"/>
      <c r="Q40" s="373" t="s">
        <v>23</v>
      </c>
      <c r="R40" s="373"/>
      <c r="S40" s="373"/>
      <c r="T40" s="373"/>
      <c r="U40" s="373" t="s">
        <v>23</v>
      </c>
      <c r="V40" s="373"/>
      <c r="W40" s="373"/>
      <c r="X40" s="373"/>
      <c r="Y40" s="373"/>
      <c r="Z40" s="374"/>
      <c r="AA40" s="369"/>
      <c r="AB40" s="370"/>
      <c r="AC40" s="370"/>
      <c r="AD40" s="370">
        <v>28</v>
      </c>
      <c r="AE40" s="370"/>
      <c r="AF40" s="370"/>
      <c r="AG40" s="370">
        <v>2</v>
      </c>
      <c r="AH40" s="370">
        <v>2</v>
      </c>
      <c r="AI40" s="370">
        <v>5</v>
      </c>
      <c r="AJ40" s="370">
        <v>4</v>
      </c>
      <c r="AK40" s="370">
        <v>34</v>
      </c>
      <c r="AL40" s="369">
        <v>38</v>
      </c>
      <c r="AM40" s="370">
        <v>37</v>
      </c>
      <c r="AN40" s="352">
        <f t="shared" si="0"/>
        <v>75</v>
      </c>
      <c r="AO40" s="97"/>
    </row>
    <row r="41" spans="1:42" s="53" customFormat="1" ht="15" x14ac:dyDescent="0.2">
      <c r="A41" s="20"/>
      <c r="B41" s="332">
        <v>37204105</v>
      </c>
      <c r="C41" s="333" t="s">
        <v>922</v>
      </c>
      <c r="D41" s="384">
        <v>3</v>
      </c>
      <c r="E41" s="334" t="s">
        <v>710</v>
      </c>
      <c r="F41" s="335" t="s">
        <v>915</v>
      </c>
      <c r="G41" s="346" t="s">
        <v>23</v>
      </c>
      <c r="H41" s="347"/>
      <c r="I41" s="347"/>
      <c r="J41" s="347" t="s">
        <v>23</v>
      </c>
      <c r="K41" s="347" t="s">
        <v>23</v>
      </c>
      <c r="L41" s="348"/>
      <c r="M41" s="349"/>
      <c r="N41" s="347"/>
      <c r="O41" s="347" t="s">
        <v>23</v>
      </c>
      <c r="P41" s="347"/>
      <c r="Q41" s="347" t="s">
        <v>23</v>
      </c>
      <c r="R41" s="347"/>
      <c r="S41" s="347"/>
      <c r="T41" s="347"/>
      <c r="U41" s="347"/>
      <c r="V41" s="347"/>
      <c r="W41" s="347"/>
      <c r="X41" s="347"/>
      <c r="Y41" s="347"/>
      <c r="Z41" s="348"/>
      <c r="AA41" s="365">
        <v>1</v>
      </c>
      <c r="AB41" s="366"/>
      <c r="AC41" s="366"/>
      <c r="AD41" s="366">
        <v>6</v>
      </c>
      <c r="AE41" s="366"/>
      <c r="AF41" s="366"/>
      <c r="AG41" s="366">
        <v>2</v>
      </c>
      <c r="AH41" s="366"/>
      <c r="AI41" s="366">
        <v>17</v>
      </c>
      <c r="AJ41" s="366"/>
      <c r="AK41" s="366">
        <v>52</v>
      </c>
      <c r="AL41" s="386">
        <v>30</v>
      </c>
      <c r="AM41" s="366">
        <v>45</v>
      </c>
      <c r="AN41" s="352">
        <f t="shared" si="0"/>
        <v>75</v>
      </c>
      <c r="AO41" s="97"/>
    </row>
    <row r="42" spans="1:42" s="53" customFormat="1" ht="21" x14ac:dyDescent="0.2">
      <c r="A42" s="20"/>
      <c r="B42" s="326">
        <v>37204109</v>
      </c>
      <c r="C42" s="77" t="s">
        <v>549</v>
      </c>
      <c r="D42" s="90">
        <v>6</v>
      </c>
      <c r="E42" s="89" t="s">
        <v>710</v>
      </c>
      <c r="F42" s="328" t="s">
        <v>917</v>
      </c>
      <c r="G42" s="346" t="s">
        <v>23</v>
      </c>
      <c r="H42" s="347"/>
      <c r="I42" s="347"/>
      <c r="J42" s="347" t="s">
        <v>23</v>
      </c>
      <c r="K42" s="347" t="s">
        <v>23</v>
      </c>
      <c r="L42" s="348" t="s">
        <v>23</v>
      </c>
      <c r="M42" s="349"/>
      <c r="N42" s="347"/>
      <c r="O42" s="347" t="s">
        <v>23</v>
      </c>
      <c r="P42" s="347"/>
      <c r="Q42" s="347" t="s">
        <v>23</v>
      </c>
      <c r="R42" s="347"/>
      <c r="S42" s="347"/>
      <c r="T42" s="347"/>
      <c r="U42" s="347"/>
      <c r="V42" s="347"/>
      <c r="W42" s="347"/>
      <c r="X42" s="347"/>
      <c r="Y42" s="347"/>
      <c r="Z42" s="348"/>
      <c r="AA42" s="365"/>
      <c r="AB42" s="366"/>
      <c r="AC42" s="366"/>
      <c r="AD42" s="366">
        <v>12</v>
      </c>
      <c r="AE42" s="366"/>
      <c r="AF42" s="366"/>
      <c r="AG42" s="366">
        <v>22</v>
      </c>
      <c r="AH42" s="366"/>
      <c r="AI42" s="366"/>
      <c r="AJ42" s="366">
        <v>8</v>
      </c>
      <c r="AK42" s="366">
        <v>108</v>
      </c>
      <c r="AL42" s="365">
        <v>60</v>
      </c>
      <c r="AM42" s="366">
        <v>90</v>
      </c>
      <c r="AN42" s="352">
        <f t="shared" si="0"/>
        <v>150</v>
      </c>
      <c r="AO42" s="97"/>
    </row>
    <row r="43" spans="1:42" s="53" customFormat="1" ht="21" x14ac:dyDescent="0.2">
      <c r="A43" s="20"/>
      <c r="B43" s="326">
        <v>37204224</v>
      </c>
      <c r="C43" s="77" t="s">
        <v>923</v>
      </c>
      <c r="D43" s="90">
        <v>3</v>
      </c>
      <c r="E43" s="89" t="s">
        <v>710</v>
      </c>
      <c r="F43" s="328" t="s">
        <v>924</v>
      </c>
      <c r="G43" s="346" t="s">
        <v>23</v>
      </c>
      <c r="H43" s="347" t="s">
        <v>23</v>
      </c>
      <c r="I43" s="347"/>
      <c r="J43" s="347" t="s">
        <v>23</v>
      </c>
      <c r="K43" s="347" t="s">
        <v>23</v>
      </c>
      <c r="L43" s="348"/>
      <c r="M43" s="349"/>
      <c r="N43" s="347"/>
      <c r="O43" s="347" t="s">
        <v>23</v>
      </c>
      <c r="P43" s="347"/>
      <c r="Q43" s="347" t="s">
        <v>23</v>
      </c>
      <c r="R43" s="347"/>
      <c r="S43" s="347"/>
      <c r="T43" s="347"/>
      <c r="U43" s="347"/>
      <c r="V43" s="347"/>
      <c r="W43" s="347"/>
      <c r="X43" s="347"/>
      <c r="Y43" s="347" t="s">
        <v>23</v>
      </c>
      <c r="Z43" s="348"/>
      <c r="AA43" s="365"/>
      <c r="AB43" s="366"/>
      <c r="AC43" s="366">
        <v>5</v>
      </c>
      <c r="AD43" s="366">
        <v>20</v>
      </c>
      <c r="AE43" s="366"/>
      <c r="AF43" s="366"/>
      <c r="AG43" s="366">
        <v>5</v>
      </c>
      <c r="AH43" s="366">
        <v>20</v>
      </c>
      <c r="AI43" s="366">
        <v>15</v>
      </c>
      <c r="AJ43" s="366"/>
      <c r="AK43" s="366">
        <v>10</v>
      </c>
      <c r="AL43" s="365">
        <v>32.5</v>
      </c>
      <c r="AM43" s="366">
        <v>42.5</v>
      </c>
      <c r="AN43" s="352">
        <f t="shared" si="0"/>
        <v>75</v>
      </c>
      <c r="AO43" s="97"/>
    </row>
    <row r="44" spans="1:42" s="53" customFormat="1" ht="15" x14ac:dyDescent="0.2">
      <c r="A44" s="20"/>
      <c r="B44" s="326">
        <v>37204137</v>
      </c>
      <c r="C44" s="77" t="s">
        <v>545</v>
      </c>
      <c r="D44" s="90">
        <v>4</v>
      </c>
      <c r="E44" s="89" t="s">
        <v>710</v>
      </c>
      <c r="F44" s="328" t="s">
        <v>925</v>
      </c>
      <c r="G44" s="372"/>
      <c r="H44" s="373"/>
      <c r="I44" s="373"/>
      <c r="J44" s="373" t="s">
        <v>23</v>
      </c>
      <c r="K44" s="373" t="s">
        <v>23</v>
      </c>
      <c r="L44" s="374" t="s">
        <v>23</v>
      </c>
      <c r="M44" s="349"/>
      <c r="N44" s="373"/>
      <c r="O44" s="373" t="s">
        <v>23</v>
      </c>
      <c r="P44" s="373"/>
      <c r="Q44" s="373"/>
      <c r="R44" s="373"/>
      <c r="S44" s="373"/>
      <c r="T44" s="373"/>
      <c r="U44" s="373"/>
      <c r="V44" s="373"/>
      <c r="W44" s="373"/>
      <c r="X44" s="373"/>
      <c r="Y44" s="373" t="s">
        <v>23</v>
      </c>
      <c r="Z44" s="374"/>
      <c r="AA44" s="369">
        <v>6</v>
      </c>
      <c r="AB44" s="370"/>
      <c r="AC44" s="370"/>
      <c r="AD44" s="370"/>
      <c r="AE44" s="370"/>
      <c r="AF44" s="370"/>
      <c r="AG44" s="370">
        <v>13</v>
      </c>
      <c r="AH44" s="370"/>
      <c r="AI44" s="370">
        <v>16</v>
      </c>
      <c r="AJ44" s="370">
        <v>40</v>
      </c>
      <c r="AK44" s="370"/>
      <c r="AL44" s="365">
        <v>30</v>
      </c>
      <c r="AM44" s="366">
        <v>45</v>
      </c>
      <c r="AN44" s="352">
        <f t="shared" si="0"/>
        <v>75</v>
      </c>
      <c r="AO44" s="97"/>
    </row>
    <row r="45" spans="1:42" s="53" customFormat="1" ht="15" x14ac:dyDescent="0.2">
      <c r="A45" s="20"/>
      <c r="B45" s="326">
        <v>37204211</v>
      </c>
      <c r="C45" s="77" t="s">
        <v>555</v>
      </c>
      <c r="D45" s="90">
        <v>3</v>
      </c>
      <c r="E45" s="89" t="s">
        <v>710</v>
      </c>
      <c r="F45" s="328" t="s">
        <v>926</v>
      </c>
      <c r="G45" s="346" t="s">
        <v>23</v>
      </c>
      <c r="H45" s="347"/>
      <c r="I45" s="347" t="s">
        <v>23</v>
      </c>
      <c r="J45" s="347"/>
      <c r="K45" s="347" t="s">
        <v>23</v>
      </c>
      <c r="L45" s="348" t="s">
        <v>23</v>
      </c>
      <c r="M45" s="349"/>
      <c r="N45" s="347"/>
      <c r="O45" s="347"/>
      <c r="P45" s="347"/>
      <c r="Q45" s="347" t="s">
        <v>23</v>
      </c>
      <c r="R45" s="347"/>
      <c r="S45" s="347" t="s">
        <v>23</v>
      </c>
      <c r="T45" s="347"/>
      <c r="U45" s="347"/>
      <c r="V45" s="347"/>
      <c r="W45" s="347"/>
      <c r="X45" s="347"/>
      <c r="Y45" s="347"/>
      <c r="Z45" s="348"/>
      <c r="AA45" s="365">
        <v>2</v>
      </c>
      <c r="AB45" s="366"/>
      <c r="AC45" s="366"/>
      <c r="AD45" s="366">
        <v>48</v>
      </c>
      <c r="AE45" s="366"/>
      <c r="AF45" s="366"/>
      <c r="AG45" s="366">
        <v>12</v>
      </c>
      <c r="AH45" s="366"/>
      <c r="AI45" s="366"/>
      <c r="AJ45" s="366">
        <v>9</v>
      </c>
      <c r="AK45" s="366">
        <v>4</v>
      </c>
      <c r="AL45" s="365">
        <v>30</v>
      </c>
      <c r="AM45" s="366">
        <v>45</v>
      </c>
      <c r="AN45" s="352">
        <f t="shared" si="0"/>
        <v>75</v>
      </c>
      <c r="AO45" s="97"/>
    </row>
    <row r="46" spans="1:42" s="53" customFormat="1" ht="31.5" x14ac:dyDescent="0.2">
      <c r="A46" s="20"/>
      <c r="B46" s="326">
        <v>37204135</v>
      </c>
      <c r="C46" s="77" t="s">
        <v>544</v>
      </c>
      <c r="D46" s="90">
        <v>7</v>
      </c>
      <c r="E46" s="89" t="s">
        <v>710</v>
      </c>
      <c r="F46" s="328" t="s">
        <v>918</v>
      </c>
      <c r="G46" s="346" t="s">
        <v>23</v>
      </c>
      <c r="H46" s="347"/>
      <c r="I46" s="347"/>
      <c r="J46" s="347" t="s">
        <v>23</v>
      </c>
      <c r="K46" s="347" t="s">
        <v>23</v>
      </c>
      <c r="L46" s="348"/>
      <c r="M46" s="349"/>
      <c r="N46" s="347"/>
      <c r="O46" s="347"/>
      <c r="P46" s="347"/>
      <c r="Q46" s="347"/>
      <c r="R46" s="347"/>
      <c r="S46" s="347"/>
      <c r="T46" s="347"/>
      <c r="U46" s="347" t="s">
        <v>23</v>
      </c>
      <c r="V46" s="347"/>
      <c r="W46" s="347"/>
      <c r="X46" s="347"/>
      <c r="Y46" s="347"/>
      <c r="Z46" s="348"/>
      <c r="AA46" s="365">
        <v>3</v>
      </c>
      <c r="AB46" s="366"/>
      <c r="AC46" s="366"/>
      <c r="AD46" s="366">
        <v>100</v>
      </c>
      <c r="AE46" s="366"/>
      <c r="AF46" s="366">
        <v>27</v>
      </c>
      <c r="AG46" s="366"/>
      <c r="AH46" s="366"/>
      <c r="AI46" s="366"/>
      <c r="AJ46" s="366"/>
      <c r="AK46" s="366">
        <v>45</v>
      </c>
      <c r="AL46" s="365">
        <v>70</v>
      </c>
      <c r="AM46" s="366">
        <v>105</v>
      </c>
      <c r="AN46" s="352">
        <f t="shared" si="0"/>
        <v>175</v>
      </c>
      <c r="AO46" s="97"/>
    </row>
    <row r="47" spans="1:42" s="53" customFormat="1" ht="31.5" x14ac:dyDescent="0.2">
      <c r="A47" s="20"/>
      <c r="B47" s="326">
        <v>37204121</v>
      </c>
      <c r="C47" s="77" t="s">
        <v>546</v>
      </c>
      <c r="D47" s="90">
        <v>6</v>
      </c>
      <c r="E47" s="89" t="s">
        <v>710</v>
      </c>
      <c r="F47" s="328" t="s">
        <v>918</v>
      </c>
      <c r="G47" s="346" t="s">
        <v>23</v>
      </c>
      <c r="H47" s="347"/>
      <c r="I47" s="347"/>
      <c r="J47" s="347" t="s">
        <v>23</v>
      </c>
      <c r="K47" s="347"/>
      <c r="L47" s="348" t="s">
        <v>23</v>
      </c>
      <c r="M47" s="349"/>
      <c r="N47" s="347"/>
      <c r="O47" s="347" t="s">
        <v>23</v>
      </c>
      <c r="P47" s="347"/>
      <c r="Q47" s="347" t="s">
        <v>23</v>
      </c>
      <c r="R47" s="347"/>
      <c r="S47" s="347"/>
      <c r="T47" s="347"/>
      <c r="U47" s="347" t="s">
        <v>23</v>
      </c>
      <c r="V47" s="347"/>
      <c r="W47" s="347"/>
      <c r="X47" s="347"/>
      <c r="Y47" s="347" t="s">
        <v>23</v>
      </c>
      <c r="Z47" s="348"/>
      <c r="AA47" s="365"/>
      <c r="AB47" s="366"/>
      <c r="AC47" s="366"/>
      <c r="AD47" s="366">
        <v>38</v>
      </c>
      <c r="AE47" s="366"/>
      <c r="AF47" s="366">
        <v>66</v>
      </c>
      <c r="AG47" s="366"/>
      <c r="AH47" s="366"/>
      <c r="AI47" s="366"/>
      <c r="AJ47" s="366"/>
      <c r="AK47" s="366">
        <v>36</v>
      </c>
      <c r="AL47" s="365">
        <v>60</v>
      </c>
      <c r="AM47" s="387">
        <v>90</v>
      </c>
      <c r="AN47" s="388">
        <f t="shared" si="0"/>
        <v>150</v>
      </c>
      <c r="AO47" s="97"/>
      <c r="AP47" s="385"/>
    </row>
    <row r="48" spans="1:42" s="53" customFormat="1" ht="15" x14ac:dyDescent="0.2">
      <c r="A48" s="20"/>
      <c r="B48" s="326">
        <v>37204221</v>
      </c>
      <c r="C48" s="77" t="s">
        <v>557</v>
      </c>
      <c r="D48" s="90">
        <v>3</v>
      </c>
      <c r="E48" s="89" t="s">
        <v>710</v>
      </c>
      <c r="F48" s="328" t="s">
        <v>924</v>
      </c>
      <c r="G48" s="346" t="s">
        <v>23</v>
      </c>
      <c r="H48" s="347"/>
      <c r="I48" s="347"/>
      <c r="J48" s="347" t="s">
        <v>23</v>
      </c>
      <c r="K48" s="347" t="s">
        <v>23</v>
      </c>
      <c r="L48" s="348"/>
      <c r="M48" s="349"/>
      <c r="N48" s="347"/>
      <c r="O48" s="347"/>
      <c r="P48" s="347"/>
      <c r="Q48" s="347" t="s">
        <v>23</v>
      </c>
      <c r="R48" s="347"/>
      <c r="S48" s="347"/>
      <c r="T48" s="347"/>
      <c r="U48" s="347"/>
      <c r="V48" s="347"/>
      <c r="W48" s="347"/>
      <c r="X48" s="347"/>
      <c r="Y48" s="347" t="s">
        <v>23</v>
      </c>
      <c r="Z48" s="348"/>
      <c r="AA48" s="365"/>
      <c r="AB48" s="366"/>
      <c r="AC48" s="366">
        <v>10</v>
      </c>
      <c r="AD48" s="366"/>
      <c r="AE48" s="366">
        <v>20</v>
      </c>
      <c r="AF48" s="366"/>
      <c r="AG48" s="366">
        <v>13</v>
      </c>
      <c r="AH48" s="366"/>
      <c r="AI48" s="366"/>
      <c r="AJ48" s="366"/>
      <c r="AK48" s="366">
        <v>32</v>
      </c>
      <c r="AL48" s="365">
        <v>30</v>
      </c>
      <c r="AM48" s="387">
        <v>45</v>
      </c>
      <c r="AN48" s="388">
        <f t="shared" si="0"/>
        <v>75</v>
      </c>
      <c r="AO48" s="97"/>
    </row>
    <row r="49" spans="1:41" s="53" customFormat="1" ht="15" x14ac:dyDescent="0.2">
      <c r="A49" s="20"/>
      <c r="B49" s="326">
        <v>37204107</v>
      </c>
      <c r="C49" s="77" t="s">
        <v>552</v>
      </c>
      <c r="D49" s="90">
        <v>7</v>
      </c>
      <c r="E49" s="89" t="s">
        <v>710</v>
      </c>
      <c r="F49" s="328" t="s">
        <v>915</v>
      </c>
      <c r="G49" s="346" t="s">
        <v>23</v>
      </c>
      <c r="H49" s="347" t="s">
        <v>23</v>
      </c>
      <c r="I49" s="347"/>
      <c r="J49" s="347"/>
      <c r="K49" s="347"/>
      <c r="L49" s="348" t="s">
        <v>23</v>
      </c>
      <c r="M49" s="349"/>
      <c r="N49" s="347"/>
      <c r="O49" s="347"/>
      <c r="P49" s="347"/>
      <c r="Q49" s="347" t="s">
        <v>23</v>
      </c>
      <c r="R49" s="347"/>
      <c r="S49" s="347"/>
      <c r="T49" s="347"/>
      <c r="U49" s="347"/>
      <c r="V49" s="347"/>
      <c r="W49" s="347"/>
      <c r="X49" s="347"/>
      <c r="Y49" s="347"/>
      <c r="Z49" s="348"/>
      <c r="AA49" s="365">
        <v>1</v>
      </c>
      <c r="AB49" s="366"/>
      <c r="AC49" s="366">
        <v>2</v>
      </c>
      <c r="AD49" s="366"/>
      <c r="AE49" s="366"/>
      <c r="AF49" s="366"/>
      <c r="AG49" s="366">
        <v>4</v>
      </c>
      <c r="AH49" s="366"/>
      <c r="AI49" s="366"/>
      <c r="AJ49" s="366">
        <v>16</v>
      </c>
      <c r="AK49" s="366">
        <v>152</v>
      </c>
      <c r="AL49" s="365">
        <v>70</v>
      </c>
      <c r="AM49" s="366">
        <v>105</v>
      </c>
      <c r="AN49" s="352">
        <f t="shared" si="0"/>
        <v>175</v>
      </c>
      <c r="AO49" s="97"/>
    </row>
    <row r="50" spans="1:41" s="53" customFormat="1" ht="15" x14ac:dyDescent="0.2">
      <c r="A50" s="20"/>
      <c r="B50" s="326">
        <v>37204126</v>
      </c>
      <c r="C50" s="77" t="s">
        <v>553</v>
      </c>
      <c r="D50" s="90">
        <v>6</v>
      </c>
      <c r="E50" s="89" t="s">
        <v>710</v>
      </c>
      <c r="F50" s="328" t="s">
        <v>919</v>
      </c>
      <c r="G50" s="346"/>
      <c r="H50" s="347" t="s">
        <v>23</v>
      </c>
      <c r="I50" s="347" t="s">
        <v>23</v>
      </c>
      <c r="J50" s="347" t="s">
        <v>23</v>
      </c>
      <c r="K50" s="347"/>
      <c r="L50" s="348"/>
      <c r="M50" s="349"/>
      <c r="N50" s="347" t="s">
        <v>23</v>
      </c>
      <c r="O50" s="347" t="s">
        <v>23</v>
      </c>
      <c r="P50" s="347"/>
      <c r="Q50" s="347"/>
      <c r="R50" s="347"/>
      <c r="S50" s="347"/>
      <c r="T50" s="347"/>
      <c r="U50" s="347"/>
      <c r="V50" s="347"/>
      <c r="W50" s="347"/>
      <c r="X50" s="347" t="s">
        <v>23</v>
      </c>
      <c r="Y50" s="347"/>
      <c r="Z50" s="348"/>
      <c r="AA50" s="365">
        <v>2</v>
      </c>
      <c r="AB50" s="366"/>
      <c r="AC50" s="366">
        <v>3</v>
      </c>
      <c r="AD50" s="366">
        <v>150</v>
      </c>
      <c r="AE50" s="366"/>
      <c r="AF50" s="366"/>
      <c r="AG50" s="366"/>
      <c r="AH50" s="366"/>
      <c r="AI50" s="366">
        <v>21</v>
      </c>
      <c r="AJ50" s="366"/>
      <c r="AK50" s="366"/>
      <c r="AL50" s="365">
        <v>156</v>
      </c>
      <c r="AM50" s="366">
        <v>20</v>
      </c>
      <c r="AN50" s="352">
        <f t="shared" si="0"/>
        <v>176</v>
      </c>
      <c r="AO50" s="97"/>
    </row>
    <row r="51" spans="1:41" s="53" customFormat="1" ht="15" x14ac:dyDescent="0.2">
      <c r="A51" s="20"/>
      <c r="B51" s="326">
        <v>37204106</v>
      </c>
      <c r="C51" s="77" t="s">
        <v>547</v>
      </c>
      <c r="D51" s="90">
        <v>3</v>
      </c>
      <c r="E51" s="89" t="s">
        <v>710</v>
      </c>
      <c r="F51" s="328" t="s">
        <v>915</v>
      </c>
      <c r="G51" s="346" t="s">
        <v>23</v>
      </c>
      <c r="H51" s="347"/>
      <c r="I51" s="347"/>
      <c r="J51" s="347"/>
      <c r="K51" s="347" t="s">
        <v>23</v>
      </c>
      <c r="L51" s="348"/>
      <c r="M51" s="349"/>
      <c r="N51" s="347"/>
      <c r="O51" s="347"/>
      <c r="P51" s="347"/>
      <c r="Q51" s="347" t="s">
        <v>23</v>
      </c>
      <c r="R51" s="347"/>
      <c r="S51" s="347"/>
      <c r="T51" s="347"/>
      <c r="U51" s="347"/>
      <c r="V51" s="347"/>
      <c r="W51" s="347"/>
      <c r="X51" s="347"/>
      <c r="Y51" s="347"/>
      <c r="Z51" s="348"/>
      <c r="AA51" s="365"/>
      <c r="AB51" s="366"/>
      <c r="AC51" s="366"/>
      <c r="AD51" s="366"/>
      <c r="AE51" s="366"/>
      <c r="AF51" s="366"/>
      <c r="AG51" s="366">
        <v>9</v>
      </c>
      <c r="AH51" s="366"/>
      <c r="AI51" s="366"/>
      <c r="AJ51" s="366">
        <v>12</v>
      </c>
      <c r="AK51" s="366">
        <v>54</v>
      </c>
      <c r="AL51" s="365">
        <v>30</v>
      </c>
      <c r="AM51" s="366">
        <v>45</v>
      </c>
      <c r="AN51" s="352">
        <f t="shared" si="0"/>
        <v>75</v>
      </c>
      <c r="AO51" s="97"/>
    </row>
    <row r="52" spans="1:41" s="53" customFormat="1" ht="21" x14ac:dyDescent="0.2">
      <c r="A52" s="20"/>
      <c r="B52" s="326">
        <v>37204110</v>
      </c>
      <c r="C52" s="77" t="s">
        <v>554</v>
      </c>
      <c r="D52" s="90">
        <v>4</v>
      </c>
      <c r="E52" s="89" t="s">
        <v>710</v>
      </c>
      <c r="F52" s="328" t="s">
        <v>917</v>
      </c>
      <c r="G52" s="346" t="s">
        <v>23</v>
      </c>
      <c r="H52" s="347"/>
      <c r="I52" s="347"/>
      <c r="J52" s="347"/>
      <c r="K52" s="347" t="s">
        <v>23</v>
      </c>
      <c r="L52" s="348" t="s">
        <v>23</v>
      </c>
      <c r="M52" s="349"/>
      <c r="N52" s="347"/>
      <c r="O52" s="347"/>
      <c r="P52" s="347"/>
      <c r="Q52" s="347" t="s">
        <v>23</v>
      </c>
      <c r="R52" s="347"/>
      <c r="S52" s="347"/>
      <c r="T52" s="347"/>
      <c r="U52" s="347"/>
      <c r="V52" s="347"/>
      <c r="W52" s="347"/>
      <c r="X52" s="347"/>
      <c r="Y52" s="347"/>
      <c r="Z52" s="348"/>
      <c r="AA52" s="365"/>
      <c r="AB52" s="366"/>
      <c r="AC52" s="366"/>
      <c r="AD52" s="366"/>
      <c r="AE52" s="366"/>
      <c r="AF52" s="366"/>
      <c r="AG52" s="366">
        <v>10</v>
      </c>
      <c r="AH52" s="366"/>
      <c r="AI52" s="366"/>
      <c r="AJ52" s="366">
        <v>12</v>
      </c>
      <c r="AK52" s="366">
        <v>78</v>
      </c>
      <c r="AL52" s="365">
        <v>40</v>
      </c>
      <c r="AM52" s="366">
        <v>60</v>
      </c>
      <c r="AN52" s="352">
        <f t="shared" si="0"/>
        <v>100</v>
      </c>
      <c r="AO52" s="97"/>
    </row>
    <row r="53" spans="1:41" s="53" customFormat="1" ht="21.75" thickBot="1" x14ac:dyDescent="0.25">
      <c r="A53" s="20"/>
      <c r="B53" s="448">
        <v>37204136</v>
      </c>
      <c r="C53" s="449" t="s">
        <v>1136</v>
      </c>
      <c r="D53" s="450">
        <v>3</v>
      </c>
      <c r="E53" s="451" t="s">
        <v>710</v>
      </c>
      <c r="F53" s="452" t="s">
        <v>916</v>
      </c>
      <c r="G53" s="453" t="s">
        <v>23</v>
      </c>
      <c r="H53" s="454"/>
      <c r="I53" s="454"/>
      <c r="J53" s="454" t="s">
        <v>23</v>
      </c>
      <c r="K53" s="454" t="s">
        <v>23</v>
      </c>
      <c r="L53" s="455"/>
      <c r="M53" s="456"/>
      <c r="N53" s="454"/>
      <c r="O53" s="454"/>
      <c r="P53" s="454" t="s">
        <v>23</v>
      </c>
      <c r="Q53" s="454" t="s">
        <v>23</v>
      </c>
      <c r="R53" s="454"/>
      <c r="S53" s="454"/>
      <c r="T53" s="454"/>
      <c r="U53" s="454"/>
      <c r="V53" s="454"/>
      <c r="W53" s="454"/>
      <c r="X53" s="454"/>
      <c r="Y53" s="454"/>
      <c r="Z53" s="455"/>
      <c r="AA53" s="457">
        <v>1</v>
      </c>
      <c r="AB53" s="458"/>
      <c r="AC53" s="458"/>
      <c r="AD53" s="458">
        <v>11</v>
      </c>
      <c r="AE53" s="458"/>
      <c r="AF53" s="458"/>
      <c r="AG53" s="458">
        <v>12</v>
      </c>
      <c r="AH53" s="458"/>
      <c r="AI53" s="458"/>
      <c r="AJ53" s="458">
        <v>11</v>
      </c>
      <c r="AK53" s="458">
        <v>20</v>
      </c>
      <c r="AL53" s="457">
        <v>30</v>
      </c>
      <c r="AM53" s="458">
        <v>45</v>
      </c>
      <c r="AN53" s="459">
        <v>75</v>
      </c>
      <c r="AO53" s="97"/>
    </row>
    <row r="54" spans="1:41" s="53" customFormat="1" ht="15" x14ac:dyDescent="0.2">
      <c r="A54" s="20"/>
      <c r="B54" s="331" t="s">
        <v>722</v>
      </c>
      <c r="C54" s="74" t="s">
        <v>570</v>
      </c>
      <c r="D54" s="88">
        <v>3</v>
      </c>
      <c r="E54" s="86" t="s">
        <v>712</v>
      </c>
      <c r="F54" s="327" t="s">
        <v>926</v>
      </c>
      <c r="G54" s="339" t="s">
        <v>23</v>
      </c>
      <c r="H54" s="340" t="s">
        <v>23</v>
      </c>
      <c r="I54" s="340"/>
      <c r="J54" s="340" t="s">
        <v>23</v>
      </c>
      <c r="K54" s="340" t="s">
        <v>23</v>
      </c>
      <c r="L54" s="341" t="s">
        <v>23</v>
      </c>
      <c r="M54" s="342"/>
      <c r="N54" s="340"/>
      <c r="O54" s="340"/>
      <c r="P54" s="340"/>
      <c r="Q54" s="340" t="s">
        <v>23</v>
      </c>
      <c r="R54" s="340"/>
      <c r="S54" s="340"/>
      <c r="T54" s="340"/>
      <c r="U54" s="340" t="s">
        <v>23</v>
      </c>
      <c r="V54" s="340"/>
      <c r="W54" s="340"/>
      <c r="X54" s="340"/>
      <c r="Y54" s="340"/>
      <c r="Z54" s="341"/>
      <c r="AA54" s="363">
        <v>1</v>
      </c>
      <c r="AB54" s="364"/>
      <c r="AC54" s="364">
        <v>2</v>
      </c>
      <c r="AD54" s="364"/>
      <c r="AE54" s="364"/>
      <c r="AF54" s="364"/>
      <c r="AG54" s="364">
        <v>2</v>
      </c>
      <c r="AH54" s="364"/>
      <c r="AI54" s="364">
        <v>11</v>
      </c>
      <c r="AJ54" s="364">
        <v>20</v>
      </c>
      <c r="AK54" s="364">
        <v>39</v>
      </c>
      <c r="AL54" s="363">
        <v>34</v>
      </c>
      <c r="AM54" s="364">
        <v>41</v>
      </c>
      <c r="AN54" s="371">
        <f t="shared" si="0"/>
        <v>75</v>
      </c>
      <c r="AO54" s="97"/>
    </row>
    <row r="55" spans="1:41" s="53" customFormat="1" ht="15" x14ac:dyDescent="0.2">
      <c r="A55" s="20"/>
      <c r="B55" s="332" t="s">
        <v>724</v>
      </c>
      <c r="C55" s="333" t="s">
        <v>927</v>
      </c>
      <c r="D55" s="384">
        <v>3</v>
      </c>
      <c r="E55" s="334" t="s">
        <v>712</v>
      </c>
      <c r="F55" s="335" t="s">
        <v>924</v>
      </c>
      <c r="G55" s="372" t="s">
        <v>23</v>
      </c>
      <c r="H55" s="373"/>
      <c r="I55" s="373"/>
      <c r="J55" s="373" t="s">
        <v>23</v>
      </c>
      <c r="K55" s="373" t="s">
        <v>23</v>
      </c>
      <c r="L55" s="374" t="s">
        <v>23</v>
      </c>
      <c r="M55" s="375"/>
      <c r="N55" s="373"/>
      <c r="O55" s="373"/>
      <c r="P55" s="373"/>
      <c r="Q55" s="373" t="s">
        <v>23</v>
      </c>
      <c r="R55" s="373"/>
      <c r="S55" s="373"/>
      <c r="T55" s="373"/>
      <c r="U55" s="373"/>
      <c r="V55" s="373"/>
      <c r="W55" s="373"/>
      <c r="X55" s="373"/>
      <c r="Y55" s="373" t="s">
        <v>23</v>
      </c>
      <c r="Z55" s="374"/>
      <c r="AA55" s="369"/>
      <c r="AB55" s="370"/>
      <c r="AC55" s="370">
        <v>5</v>
      </c>
      <c r="AD55" s="370">
        <v>20</v>
      </c>
      <c r="AE55" s="370">
        <v>20</v>
      </c>
      <c r="AF55" s="370"/>
      <c r="AG55" s="370">
        <v>5</v>
      </c>
      <c r="AH55" s="370"/>
      <c r="AI55" s="370">
        <v>15</v>
      </c>
      <c r="AJ55" s="370"/>
      <c r="AK55" s="370">
        <v>10</v>
      </c>
      <c r="AL55" s="369">
        <v>32.5</v>
      </c>
      <c r="AM55" s="370">
        <v>42.5</v>
      </c>
      <c r="AN55" s="352">
        <f t="shared" si="0"/>
        <v>75</v>
      </c>
      <c r="AO55" s="97"/>
    </row>
    <row r="56" spans="1:41" s="53" customFormat="1" ht="15" x14ac:dyDescent="0.2">
      <c r="A56" s="20"/>
      <c r="B56" s="332" t="s">
        <v>719</v>
      </c>
      <c r="C56" s="333" t="s">
        <v>561</v>
      </c>
      <c r="D56" s="384">
        <v>6</v>
      </c>
      <c r="E56" s="334" t="s">
        <v>712</v>
      </c>
      <c r="F56" s="335" t="s">
        <v>919</v>
      </c>
      <c r="G56" s="372"/>
      <c r="H56" s="373" t="s">
        <v>23</v>
      </c>
      <c r="I56" s="373" t="s">
        <v>23</v>
      </c>
      <c r="J56" s="373" t="s">
        <v>23</v>
      </c>
      <c r="K56" s="373"/>
      <c r="L56" s="374"/>
      <c r="M56" s="375"/>
      <c r="N56" s="373" t="s">
        <v>23</v>
      </c>
      <c r="O56" s="373" t="s">
        <v>23</v>
      </c>
      <c r="P56" s="373"/>
      <c r="Q56" s="373"/>
      <c r="R56" s="373"/>
      <c r="S56" s="373"/>
      <c r="T56" s="373"/>
      <c r="U56" s="373"/>
      <c r="V56" s="373"/>
      <c r="W56" s="373"/>
      <c r="X56" s="373" t="s">
        <v>23</v>
      </c>
      <c r="Y56" s="373"/>
      <c r="Z56" s="374"/>
      <c r="AA56" s="369">
        <v>4</v>
      </c>
      <c r="AB56" s="370"/>
      <c r="AC56" s="370">
        <v>2</v>
      </c>
      <c r="AD56" s="370">
        <v>120</v>
      </c>
      <c r="AE56" s="370"/>
      <c r="AF56" s="370"/>
      <c r="AG56" s="370"/>
      <c r="AH56" s="370"/>
      <c r="AI56" s="370">
        <v>50</v>
      </c>
      <c r="AJ56" s="370"/>
      <c r="AK56" s="370"/>
      <c r="AL56" s="369">
        <v>126</v>
      </c>
      <c r="AM56" s="370">
        <v>50</v>
      </c>
      <c r="AN56" s="352">
        <f t="shared" si="0"/>
        <v>176</v>
      </c>
      <c r="AO56" s="97"/>
    </row>
    <row r="57" spans="1:41" s="53" customFormat="1" ht="21" x14ac:dyDescent="0.2">
      <c r="A57" s="20"/>
      <c r="B57" s="326" t="s">
        <v>720</v>
      </c>
      <c r="C57" s="77" t="s">
        <v>562</v>
      </c>
      <c r="D57" s="90">
        <v>6</v>
      </c>
      <c r="E57" s="89" t="s">
        <v>712</v>
      </c>
      <c r="F57" s="328" t="s">
        <v>919</v>
      </c>
      <c r="G57" s="346"/>
      <c r="H57" s="347" t="s">
        <v>23</v>
      </c>
      <c r="I57" s="347" t="s">
        <v>23</v>
      </c>
      <c r="J57" s="347" t="s">
        <v>23</v>
      </c>
      <c r="K57" s="347"/>
      <c r="L57" s="348"/>
      <c r="M57" s="349"/>
      <c r="N57" s="347" t="s">
        <v>23</v>
      </c>
      <c r="O57" s="347" t="s">
        <v>23</v>
      </c>
      <c r="P57" s="347"/>
      <c r="Q57" s="347"/>
      <c r="R57" s="347"/>
      <c r="S57" s="347"/>
      <c r="T57" s="347"/>
      <c r="U57" s="347"/>
      <c r="V57" s="347"/>
      <c r="W57" s="347"/>
      <c r="X57" s="347" t="s">
        <v>23</v>
      </c>
      <c r="Y57" s="347"/>
      <c r="Z57" s="348"/>
      <c r="AA57" s="365">
        <v>4</v>
      </c>
      <c r="AB57" s="366"/>
      <c r="AC57" s="366">
        <v>2</v>
      </c>
      <c r="AD57" s="366">
        <v>120</v>
      </c>
      <c r="AE57" s="366"/>
      <c r="AF57" s="366"/>
      <c r="AG57" s="366"/>
      <c r="AH57" s="366"/>
      <c r="AI57" s="366">
        <v>50</v>
      </c>
      <c r="AJ57" s="366"/>
      <c r="AK57" s="366"/>
      <c r="AL57" s="365">
        <v>126</v>
      </c>
      <c r="AM57" s="366">
        <v>50</v>
      </c>
      <c r="AN57" s="352">
        <f t="shared" si="0"/>
        <v>176</v>
      </c>
      <c r="AO57" s="97"/>
    </row>
    <row r="58" spans="1:41" s="53" customFormat="1" ht="15" x14ac:dyDescent="0.2">
      <c r="A58" s="20"/>
      <c r="B58" s="332" t="s">
        <v>717</v>
      </c>
      <c r="C58" s="333" t="s">
        <v>559</v>
      </c>
      <c r="D58" s="384">
        <v>6</v>
      </c>
      <c r="E58" s="334" t="s">
        <v>712</v>
      </c>
      <c r="F58" s="335" t="s">
        <v>919</v>
      </c>
      <c r="G58" s="372"/>
      <c r="H58" s="373" t="s">
        <v>23</v>
      </c>
      <c r="I58" s="373" t="s">
        <v>23</v>
      </c>
      <c r="J58" s="373" t="s">
        <v>23</v>
      </c>
      <c r="K58" s="373"/>
      <c r="L58" s="374"/>
      <c r="M58" s="375"/>
      <c r="N58" s="373" t="s">
        <v>23</v>
      </c>
      <c r="O58" s="373" t="s">
        <v>23</v>
      </c>
      <c r="P58" s="373"/>
      <c r="Q58" s="373"/>
      <c r="R58" s="373"/>
      <c r="S58" s="373"/>
      <c r="T58" s="373"/>
      <c r="U58" s="373"/>
      <c r="V58" s="373"/>
      <c r="W58" s="373"/>
      <c r="X58" s="373" t="s">
        <v>23</v>
      </c>
      <c r="Y58" s="373"/>
      <c r="Z58" s="374"/>
      <c r="AA58" s="369">
        <v>4</v>
      </c>
      <c r="AB58" s="370"/>
      <c r="AC58" s="370">
        <v>2</v>
      </c>
      <c r="AD58" s="370">
        <v>120</v>
      </c>
      <c r="AE58" s="370"/>
      <c r="AF58" s="370"/>
      <c r="AG58" s="370"/>
      <c r="AH58" s="370"/>
      <c r="AI58" s="370">
        <v>50</v>
      </c>
      <c r="AJ58" s="370"/>
      <c r="AK58" s="370"/>
      <c r="AL58" s="369">
        <v>126</v>
      </c>
      <c r="AM58" s="370">
        <v>50</v>
      </c>
      <c r="AN58" s="352">
        <f t="shared" si="0"/>
        <v>176</v>
      </c>
      <c r="AO58" s="97"/>
    </row>
    <row r="59" spans="1:41" s="53" customFormat="1" ht="15" x14ac:dyDescent="0.2">
      <c r="A59" s="20"/>
      <c r="B59" s="332" t="s">
        <v>718</v>
      </c>
      <c r="C59" s="333" t="s">
        <v>560</v>
      </c>
      <c r="D59" s="384">
        <v>6</v>
      </c>
      <c r="E59" s="334" t="s">
        <v>712</v>
      </c>
      <c r="F59" s="335" t="s">
        <v>919</v>
      </c>
      <c r="G59" s="372"/>
      <c r="H59" s="373" t="s">
        <v>23</v>
      </c>
      <c r="I59" s="373" t="s">
        <v>23</v>
      </c>
      <c r="J59" s="373" t="s">
        <v>23</v>
      </c>
      <c r="K59" s="373"/>
      <c r="L59" s="374"/>
      <c r="M59" s="375"/>
      <c r="N59" s="373" t="s">
        <v>23</v>
      </c>
      <c r="O59" s="373" t="s">
        <v>23</v>
      </c>
      <c r="P59" s="373"/>
      <c r="Q59" s="373"/>
      <c r="R59" s="373"/>
      <c r="S59" s="373"/>
      <c r="T59" s="373"/>
      <c r="U59" s="373"/>
      <c r="V59" s="373"/>
      <c r="W59" s="373"/>
      <c r="X59" s="373" t="s">
        <v>23</v>
      </c>
      <c r="Y59" s="373"/>
      <c r="Z59" s="374"/>
      <c r="AA59" s="369">
        <v>4</v>
      </c>
      <c r="AB59" s="370"/>
      <c r="AC59" s="370">
        <v>2</v>
      </c>
      <c r="AD59" s="370">
        <v>120</v>
      </c>
      <c r="AE59" s="370"/>
      <c r="AF59" s="370"/>
      <c r="AG59" s="370"/>
      <c r="AH59" s="370"/>
      <c r="AI59" s="370">
        <v>50</v>
      </c>
      <c r="AJ59" s="370"/>
      <c r="AK59" s="370"/>
      <c r="AL59" s="369">
        <v>126</v>
      </c>
      <c r="AM59" s="370">
        <v>50</v>
      </c>
      <c r="AN59" s="352">
        <f t="shared" si="0"/>
        <v>176</v>
      </c>
      <c r="AO59" s="97"/>
    </row>
    <row r="60" spans="1:41" s="53" customFormat="1" ht="15" x14ac:dyDescent="0.2">
      <c r="A60" s="20"/>
      <c r="B60" s="332" t="s">
        <v>715</v>
      </c>
      <c r="C60" s="333" t="s">
        <v>568</v>
      </c>
      <c r="D60" s="384">
        <v>3</v>
      </c>
      <c r="E60" s="334" t="s">
        <v>712</v>
      </c>
      <c r="F60" s="335" t="s">
        <v>925</v>
      </c>
      <c r="G60" s="372"/>
      <c r="H60" s="373"/>
      <c r="I60" s="373"/>
      <c r="J60" s="373" t="s">
        <v>23</v>
      </c>
      <c r="K60" s="373" t="s">
        <v>23</v>
      </c>
      <c r="L60" s="374" t="s">
        <v>23</v>
      </c>
      <c r="M60" s="375" t="s">
        <v>23</v>
      </c>
      <c r="N60" s="373"/>
      <c r="O60" s="373" t="s">
        <v>23</v>
      </c>
      <c r="P60" s="373"/>
      <c r="Q60" s="373"/>
      <c r="R60" s="373"/>
      <c r="S60" s="373"/>
      <c r="T60" s="373"/>
      <c r="U60" s="373"/>
      <c r="V60" s="373"/>
      <c r="W60" s="373"/>
      <c r="X60" s="373"/>
      <c r="Y60" s="373"/>
      <c r="Z60" s="374"/>
      <c r="AA60" s="369">
        <v>4</v>
      </c>
      <c r="AB60" s="370"/>
      <c r="AC60" s="370"/>
      <c r="AD60" s="370"/>
      <c r="AE60" s="370"/>
      <c r="AF60" s="370"/>
      <c r="AG60" s="370">
        <v>13</v>
      </c>
      <c r="AH60" s="370"/>
      <c r="AI60" s="370">
        <v>34</v>
      </c>
      <c r="AJ60" s="370">
        <v>24</v>
      </c>
      <c r="AK60" s="370"/>
      <c r="AL60" s="369">
        <v>30</v>
      </c>
      <c r="AM60" s="370">
        <v>45</v>
      </c>
      <c r="AN60" s="352">
        <f t="shared" si="0"/>
        <v>75</v>
      </c>
      <c r="AO60" s="97"/>
    </row>
    <row r="61" spans="1:41" s="53" customFormat="1" ht="15" x14ac:dyDescent="0.2">
      <c r="A61" s="20"/>
      <c r="B61" s="332" t="s">
        <v>723</v>
      </c>
      <c r="C61" s="333" t="s">
        <v>571</v>
      </c>
      <c r="D61" s="384">
        <v>3</v>
      </c>
      <c r="E61" s="334" t="s">
        <v>712</v>
      </c>
      <c r="F61" s="335" t="s">
        <v>924</v>
      </c>
      <c r="G61" s="372" t="s">
        <v>23</v>
      </c>
      <c r="H61" s="373" t="s">
        <v>23</v>
      </c>
      <c r="I61" s="373"/>
      <c r="J61" s="373" t="s">
        <v>23</v>
      </c>
      <c r="K61" s="373" t="s">
        <v>23</v>
      </c>
      <c r="L61" s="374"/>
      <c r="M61" s="375"/>
      <c r="N61" s="373"/>
      <c r="O61" s="373"/>
      <c r="P61" s="373"/>
      <c r="Q61" s="373"/>
      <c r="R61" s="373"/>
      <c r="S61" s="373"/>
      <c r="T61" s="373"/>
      <c r="U61" s="373"/>
      <c r="V61" s="373"/>
      <c r="W61" s="373"/>
      <c r="X61" s="373"/>
      <c r="Y61" s="373" t="s">
        <v>23</v>
      </c>
      <c r="Z61" s="374"/>
      <c r="AA61" s="369"/>
      <c r="AB61" s="370"/>
      <c r="AC61" s="370">
        <v>2</v>
      </c>
      <c r="AD61" s="370">
        <v>25</v>
      </c>
      <c r="AE61" s="370">
        <v>6</v>
      </c>
      <c r="AF61" s="370"/>
      <c r="AG61" s="370"/>
      <c r="AH61" s="370"/>
      <c r="AI61" s="370">
        <v>29</v>
      </c>
      <c r="AJ61" s="370"/>
      <c r="AK61" s="370">
        <v>13</v>
      </c>
      <c r="AL61" s="369">
        <v>28</v>
      </c>
      <c r="AM61" s="370">
        <v>47</v>
      </c>
      <c r="AN61" s="352">
        <f t="shared" si="0"/>
        <v>75</v>
      </c>
      <c r="AO61" s="97"/>
    </row>
    <row r="62" spans="1:41" s="53" customFormat="1" ht="21" x14ac:dyDescent="0.2">
      <c r="A62" s="20"/>
      <c r="B62" s="332">
        <v>37204226</v>
      </c>
      <c r="C62" s="333" t="s">
        <v>899</v>
      </c>
      <c r="D62" s="384">
        <v>3</v>
      </c>
      <c r="E62" s="334" t="s">
        <v>712</v>
      </c>
      <c r="F62" s="335" t="s">
        <v>924</v>
      </c>
      <c r="G62" s="372" t="s">
        <v>23</v>
      </c>
      <c r="H62" s="373"/>
      <c r="I62" s="373"/>
      <c r="J62" s="373" t="s">
        <v>23</v>
      </c>
      <c r="K62" s="373" t="s">
        <v>23</v>
      </c>
      <c r="L62" s="374" t="s">
        <v>23</v>
      </c>
      <c r="M62" s="375"/>
      <c r="N62" s="373"/>
      <c r="O62" s="373"/>
      <c r="P62" s="373"/>
      <c r="Q62" s="373" t="s">
        <v>23</v>
      </c>
      <c r="R62" s="373"/>
      <c r="S62" s="373"/>
      <c r="T62" s="373"/>
      <c r="U62" s="373"/>
      <c r="V62" s="373"/>
      <c r="W62" s="373"/>
      <c r="X62" s="373"/>
      <c r="Y62" s="373"/>
      <c r="Z62" s="374"/>
      <c r="AA62" s="369">
        <v>2</v>
      </c>
      <c r="AB62" s="370"/>
      <c r="AC62" s="370"/>
      <c r="AD62" s="370">
        <v>48</v>
      </c>
      <c r="AE62" s="370"/>
      <c r="AF62" s="370"/>
      <c r="AG62" s="370">
        <v>12</v>
      </c>
      <c r="AH62" s="370"/>
      <c r="AI62" s="370"/>
      <c r="AJ62" s="370">
        <v>9</v>
      </c>
      <c r="AK62" s="370">
        <v>4</v>
      </c>
      <c r="AL62" s="369">
        <v>30</v>
      </c>
      <c r="AM62" s="370">
        <v>45</v>
      </c>
      <c r="AN62" s="352">
        <f t="shared" si="0"/>
        <v>75</v>
      </c>
      <c r="AO62" s="97"/>
    </row>
    <row r="63" spans="1:41" s="53" customFormat="1" ht="21" x14ac:dyDescent="0.2">
      <c r="A63" s="20"/>
      <c r="B63" s="326">
        <v>37204223</v>
      </c>
      <c r="C63" s="77" t="s">
        <v>569</v>
      </c>
      <c r="D63" s="90">
        <v>3</v>
      </c>
      <c r="E63" s="89" t="s">
        <v>712</v>
      </c>
      <c r="F63" s="328" t="s">
        <v>924</v>
      </c>
      <c r="G63" s="346" t="s">
        <v>23</v>
      </c>
      <c r="H63" s="347"/>
      <c r="I63" s="347"/>
      <c r="J63" s="347" t="s">
        <v>23</v>
      </c>
      <c r="K63" s="347" t="s">
        <v>23</v>
      </c>
      <c r="L63" s="348" t="s">
        <v>23</v>
      </c>
      <c r="M63" s="349"/>
      <c r="N63" s="347"/>
      <c r="O63" s="347"/>
      <c r="P63" s="347"/>
      <c r="Q63" s="347"/>
      <c r="R63" s="347"/>
      <c r="S63" s="347"/>
      <c r="T63" s="347"/>
      <c r="U63" s="347" t="s">
        <v>23</v>
      </c>
      <c r="V63" s="347"/>
      <c r="W63" s="347"/>
      <c r="X63" s="347"/>
      <c r="Y63" s="347"/>
      <c r="Z63" s="348"/>
      <c r="AA63" s="365">
        <v>2</v>
      </c>
      <c r="AB63" s="366"/>
      <c r="AC63" s="366"/>
      <c r="AD63" s="366">
        <v>48</v>
      </c>
      <c r="AE63" s="366"/>
      <c r="AF63" s="366"/>
      <c r="AG63" s="366">
        <v>12</v>
      </c>
      <c r="AH63" s="366"/>
      <c r="AI63" s="366"/>
      <c r="AJ63" s="366">
        <v>9</v>
      </c>
      <c r="AK63" s="366">
        <v>4</v>
      </c>
      <c r="AL63" s="365">
        <v>30</v>
      </c>
      <c r="AM63" s="366">
        <v>45</v>
      </c>
      <c r="AN63" s="352">
        <f t="shared" si="0"/>
        <v>75</v>
      </c>
      <c r="AO63" s="97"/>
    </row>
    <row r="64" spans="1:41" s="53" customFormat="1" ht="15" x14ac:dyDescent="0.2">
      <c r="A64" s="20"/>
      <c r="B64" s="332" t="s">
        <v>711</v>
      </c>
      <c r="C64" s="333" t="s">
        <v>565</v>
      </c>
      <c r="D64" s="384">
        <v>3</v>
      </c>
      <c r="E64" s="334" t="s">
        <v>712</v>
      </c>
      <c r="F64" s="335" t="s">
        <v>928</v>
      </c>
      <c r="G64" s="372" t="s">
        <v>23</v>
      </c>
      <c r="H64" s="373"/>
      <c r="I64" s="373"/>
      <c r="J64" s="373" t="s">
        <v>23</v>
      </c>
      <c r="K64" s="373"/>
      <c r="L64" s="374" t="s">
        <v>23</v>
      </c>
      <c r="M64" s="375"/>
      <c r="N64" s="373"/>
      <c r="O64" s="373"/>
      <c r="P64" s="373"/>
      <c r="Q64" s="373" t="s">
        <v>23</v>
      </c>
      <c r="R64" s="373"/>
      <c r="S64" s="373"/>
      <c r="T64" s="373"/>
      <c r="U64" s="373"/>
      <c r="V64" s="373"/>
      <c r="W64" s="373"/>
      <c r="X64" s="373"/>
      <c r="Y64" s="373" t="s">
        <v>23</v>
      </c>
      <c r="Z64" s="374" t="s">
        <v>23</v>
      </c>
      <c r="AA64" s="369">
        <v>1</v>
      </c>
      <c r="AB64" s="370"/>
      <c r="AC64" s="370">
        <v>1</v>
      </c>
      <c r="AD64" s="370"/>
      <c r="AE64" s="370"/>
      <c r="AF64" s="370"/>
      <c r="AG64" s="370">
        <v>8</v>
      </c>
      <c r="AH64" s="370"/>
      <c r="AI64" s="370">
        <v>12</v>
      </c>
      <c r="AJ64" s="370">
        <v>12</v>
      </c>
      <c r="AK64" s="370">
        <v>41</v>
      </c>
      <c r="AL64" s="369">
        <v>30</v>
      </c>
      <c r="AM64" s="370">
        <v>45</v>
      </c>
      <c r="AN64" s="352">
        <f t="shared" si="0"/>
        <v>75</v>
      </c>
      <c r="AO64" s="97"/>
    </row>
    <row r="65" spans="1:77" s="53" customFormat="1" ht="21" x14ac:dyDescent="0.2">
      <c r="A65" s="20"/>
      <c r="B65" s="326" t="s">
        <v>714</v>
      </c>
      <c r="C65" s="77" t="s">
        <v>567</v>
      </c>
      <c r="D65" s="90">
        <v>3</v>
      </c>
      <c r="E65" s="89" t="s">
        <v>712</v>
      </c>
      <c r="F65" s="328" t="s">
        <v>928</v>
      </c>
      <c r="G65" s="376" t="s">
        <v>23</v>
      </c>
      <c r="H65" s="347"/>
      <c r="I65" s="347"/>
      <c r="J65" s="347"/>
      <c r="K65" s="377" t="s">
        <v>23</v>
      </c>
      <c r="L65" s="348"/>
      <c r="M65" s="349"/>
      <c r="N65" s="347"/>
      <c r="O65" s="347"/>
      <c r="P65" s="347"/>
      <c r="Q65" s="347" t="s">
        <v>23</v>
      </c>
      <c r="R65" s="347"/>
      <c r="S65" s="347"/>
      <c r="T65" s="347"/>
      <c r="U65" s="347"/>
      <c r="V65" s="347"/>
      <c r="W65" s="347"/>
      <c r="X65" s="347"/>
      <c r="Y65" s="347"/>
      <c r="Z65" s="348"/>
      <c r="AA65" s="365"/>
      <c r="AB65" s="366"/>
      <c r="AC65" s="366"/>
      <c r="AD65" s="366"/>
      <c r="AE65" s="366"/>
      <c r="AF65" s="366"/>
      <c r="AG65" s="366">
        <v>7</v>
      </c>
      <c r="AH65" s="366"/>
      <c r="AI65" s="366"/>
      <c r="AJ65" s="366"/>
      <c r="AK65" s="366">
        <v>68</v>
      </c>
      <c r="AL65" s="365">
        <v>30</v>
      </c>
      <c r="AM65" s="366">
        <v>45</v>
      </c>
      <c r="AN65" s="352">
        <f t="shared" si="0"/>
        <v>75</v>
      </c>
      <c r="AO65" s="97"/>
    </row>
    <row r="66" spans="1:77" s="53" customFormat="1" ht="21" x14ac:dyDescent="0.2">
      <c r="A66" s="20"/>
      <c r="B66" s="326" t="s">
        <v>716</v>
      </c>
      <c r="C66" s="77" t="s">
        <v>929</v>
      </c>
      <c r="D66" s="90">
        <v>6</v>
      </c>
      <c r="E66" s="89" t="s">
        <v>712</v>
      </c>
      <c r="F66" s="328" t="s">
        <v>919</v>
      </c>
      <c r="G66" s="346"/>
      <c r="H66" s="373" t="s">
        <v>23</v>
      </c>
      <c r="I66" s="373" t="s">
        <v>23</v>
      </c>
      <c r="J66" s="373" t="s">
        <v>23</v>
      </c>
      <c r="K66" s="373"/>
      <c r="L66" s="374"/>
      <c r="M66" s="375"/>
      <c r="N66" s="373" t="s">
        <v>23</v>
      </c>
      <c r="O66" s="373" t="s">
        <v>23</v>
      </c>
      <c r="P66" s="373"/>
      <c r="Q66" s="373"/>
      <c r="R66" s="373"/>
      <c r="S66" s="373"/>
      <c r="T66" s="373"/>
      <c r="U66" s="373"/>
      <c r="V66" s="373"/>
      <c r="W66" s="373"/>
      <c r="X66" s="373" t="s">
        <v>23</v>
      </c>
      <c r="Y66" s="373"/>
      <c r="Z66" s="348"/>
      <c r="AA66" s="365">
        <v>4</v>
      </c>
      <c r="AB66" s="366"/>
      <c r="AC66" s="366">
        <v>2</v>
      </c>
      <c r="AD66" s="366">
        <v>120</v>
      </c>
      <c r="AE66" s="366"/>
      <c r="AF66" s="366"/>
      <c r="AG66" s="366"/>
      <c r="AH66" s="366"/>
      <c r="AI66" s="366">
        <v>50</v>
      </c>
      <c r="AJ66" s="366"/>
      <c r="AK66" s="366"/>
      <c r="AL66" s="365">
        <v>126</v>
      </c>
      <c r="AM66" s="366">
        <v>50</v>
      </c>
      <c r="AN66" s="352">
        <f t="shared" si="0"/>
        <v>176</v>
      </c>
      <c r="AO66" s="97"/>
    </row>
    <row r="67" spans="1:77" s="53" customFormat="1" ht="15" x14ac:dyDescent="0.2">
      <c r="A67" s="20"/>
      <c r="B67" s="326">
        <v>37204225</v>
      </c>
      <c r="C67" s="77" t="s">
        <v>900</v>
      </c>
      <c r="D67" s="90">
        <v>3</v>
      </c>
      <c r="E67" s="89" t="s">
        <v>712</v>
      </c>
      <c r="F67" s="328" t="s">
        <v>924</v>
      </c>
      <c r="G67" s="346" t="s">
        <v>23</v>
      </c>
      <c r="H67" s="373" t="s">
        <v>23</v>
      </c>
      <c r="I67" s="347"/>
      <c r="J67" s="347"/>
      <c r="K67" s="347" t="s">
        <v>23</v>
      </c>
      <c r="L67" s="348" t="s">
        <v>23</v>
      </c>
      <c r="M67" s="349"/>
      <c r="N67" s="347"/>
      <c r="O67" s="347"/>
      <c r="P67" s="347"/>
      <c r="Q67" s="347" t="s">
        <v>23</v>
      </c>
      <c r="R67" s="347"/>
      <c r="S67" s="347"/>
      <c r="T67" s="347"/>
      <c r="U67" s="347" t="s">
        <v>23</v>
      </c>
      <c r="V67" s="347"/>
      <c r="W67" s="347"/>
      <c r="X67" s="347"/>
      <c r="Y67" s="347"/>
      <c r="Z67" s="348"/>
      <c r="AA67" s="365"/>
      <c r="AB67" s="366"/>
      <c r="AC67" s="366"/>
      <c r="AD67" s="366">
        <v>21</v>
      </c>
      <c r="AE67" s="366"/>
      <c r="AF67" s="366">
        <v>4</v>
      </c>
      <c r="AG67" s="366">
        <v>5</v>
      </c>
      <c r="AH67" s="366"/>
      <c r="AI67" s="366"/>
      <c r="AJ67" s="366">
        <v>30</v>
      </c>
      <c r="AK67" s="366">
        <v>15</v>
      </c>
      <c r="AL67" s="365">
        <v>30</v>
      </c>
      <c r="AM67" s="366">
        <v>45</v>
      </c>
      <c r="AN67" s="352">
        <f t="shared" si="0"/>
        <v>75</v>
      </c>
      <c r="AO67" s="97"/>
    </row>
    <row r="68" spans="1:77" s="53" customFormat="1" ht="15" x14ac:dyDescent="0.2">
      <c r="A68" s="20"/>
      <c r="B68" s="326" t="s">
        <v>713</v>
      </c>
      <c r="C68" s="77" t="s">
        <v>566</v>
      </c>
      <c r="D68" s="90">
        <v>3</v>
      </c>
      <c r="E68" s="89" t="s">
        <v>712</v>
      </c>
      <c r="F68" s="328" t="s">
        <v>928</v>
      </c>
      <c r="G68" s="346" t="s">
        <v>23</v>
      </c>
      <c r="H68" s="347"/>
      <c r="I68" s="347"/>
      <c r="J68" s="347" t="s">
        <v>23</v>
      </c>
      <c r="K68" s="347"/>
      <c r="L68" s="348" t="s">
        <v>23</v>
      </c>
      <c r="M68" s="349"/>
      <c r="N68" s="347"/>
      <c r="O68" s="347"/>
      <c r="P68" s="347"/>
      <c r="Q68" s="347" t="s">
        <v>23</v>
      </c>
      <c r="R68" s="347"/>
      <c r="S68" s="347"/>
      <c r="T68" s="347"/>
      <c r="U68" s="347"/>
      <c r="V68" s="347"/>
      <c r="W68" s="347"/>
      <c r="X68" s="347"/>
      <c r="Y68" s="347" t="s">
        <v>23</v>
      </c>
      <c r="Z68" s="348"/>
      <c r="AA68" s="365">
        <v>1</v>
      </c>
      <c r="AB68" s="366"/>
      <c r="AC68" s="366">
        <v>1</v>
      </c>
      <c r="AD68" s="366"/>
      <c r="AE68" s="366"/>
      <c r="AF68" s="366"/>
      <c r="AG68" s="366">
        <v>12</v>
      </c>
      <c r="AH68" s="366"/>
      <c r="AI68" s="366">
        <v>7</v>
      </c>
      <c r="AJ68" s="366">
        <v>20</v>
      </c>
      <c r="AK68" s="366">
        <v>34</v>
      </c>
      <c r="AL68" s="365">
        <v>35</v>
      </c>
      <c r="AM68" s="366">
        <v>40</v>
      </c>
      <c r="AN68" s="352">
        <f t="shared" si="0"/>
        <v>75</v>
      </c>
      <c r="AO68" s="97"/>
    </row>
    <row r="69" spans="1:77" s="53" customFormat="1" ht="21" x14ac:dyDescent="0.2">
      <c r="A69" s="20"/>
      <c r="B69" s="326">
        <v>37204209</v>
      </c>
      <c r="C69" s="77" t="s">
        <v>930</v>
      </c>
      <c r="D69" s="90">
        <v>3</v>
      </c>
      <c r="E69" s="89" t="s">
        <v>712</v>
      </c>
      <c r="F69" s="328" t="s">
        <v>926</v>
      </c>
      <c r="G69" s="346" t="s">
        <v>23</v>
      </c>
      <c r="H69" s="347"/>
      <c r="I69" s="347"/>
      <c r="J69" s="347" t="s">
        <v>23</v>
      </c>
      <c r="K69" s="347" t="s">
        <v>23</v>
      </c>
      <c r="L69" s="348" t="s">
        <v>23</v>
      </c>
      <c r="M69" s="349"/>
      <c r="N69" s="347"/>
      <c r="O69" s="347"/>
      <c r="P69" s="347"/>
      <c r="Q69" s="347"/>
      <c r="R69" s="347"/>
      <c r="S69" s="347"/>
      <c r="T69" s="347"/>
      <c r="U69" s="347" t="s">
        <v>23</v>
      </c>
      <c r="V69" s="347"/>
      <c r="W69" s="347"/>
      <c r="X69" s="347"/>
      <c r="Y69" s="347"/>
      <c r="Z69" s="348"/>
      <c r="AA69" s="365">
        <v>2</v>
      </c>
      <c r="AB69" s="366"/>
      <c r="AC69" s="366"/>
      <c r="AD69" s="366">
        <v>48</v>
      </c>
      <c r="AE69" s="366"/>
      <c r="AF69" s="366"/>
      <c r="AG69" s="366">
        <v>12</v>
      </c>
      <c r="AH69" s="366"/>
      <c r="AI69" s="366"/>
      <c r="AJ69" s="366">
        <v>9</v>
      </c>
      <c r="AK69" s="366">
        <v>4</v>
      </c>
      <c r="AL69" s="365">
        <v>30</v>
      </c>
      <c r="AM69" s="366">
        <v>45</v>
      </c>
      <c r="AN69" s="352">
        <f t="shared" si="0"/>
        <v>75</v>
      </c>
      <c r="AO69" s="97"/>
    </row>
    <row r="70" spans="1:77" s="53" customFormat="1" ht="21" x14ac:dyDescent="0.2">
      <c r="A70" s="20"/>
      <c r="B70" s="326">
        <v>37204222</v>
      </c>
      <c r="C70" s="77" t="s">
        <v>573</v>
      </c>
      <c r="D70" s="90">
        <v>3</v>
      </c>
      <c r="E70" s="89" t="s">
        <v>712</v>
      </c>
      <c r="F70" s="328" t="s">
        <v>926</v>
      </c>
      <c r="G70" s="346" t="s">
        <v>23</v>
      </c>
      <c r="H70" s="347"/>
      <c r="I70" s="347"/>
      <c r="J70" s="347" t="s">
        <v>23</v>
      </c>
      <c r="K70" s="347" t="s">
        <v>23</v>
      </c>
      <c r="L70" s="348" t="s">
        <v>23</v>
      </c>
      <c r="M70" s="349"/>
      <c r="N70" s="347"/>
      <c r="O70" s="347"/>
      <c r="P70" s="347" t="s">
        <v>23</v>
      </c>
      <c r="Q70" s="347" t="s">
        <v>23</v>
      </c>
      <c r="R70" s="347"/>
      <c r="S70" s="347"/>
      <c r="T70" s="347"/>
      <c r="U70" s="347" t="s">
        <v>23</v>
      </c>
      <c r="V70" s="347"/>
      <c r="W70" s="347"/>
      <c r="X70" s="347"/>
      <c r="Y70" s="347"/>
      <c r="Z70" s="348"/>
      <c r="AA70" s="365">
        <v>2</v>
      </c>
      <c r="AB70" s="366"/>
      <c r="AC70" s="366"/>
      <c r="AD70" s="366">
        <v>48</v>
      </c>
      <c r="AE70" s="366"/>
      <c r="AF70" s="366"/>
      <c r="AG70" s="366">
        <v>12</v>
      </c>
      <c r="AH70" s="366"/>
      <c r="AI70" s="366"/>
      <c r="AJ70" s="366">
        <v>9</v>
      </c>
      <c r="AK70" s="366">
        <v>4</v>
      </c>
      <c r="AL70" s="365">
        <v>30</v>
      </c>
      <c r="AM70" s="366">
        <v>45</v>
      </c>
      <c r="AN70" s="352">
        <f t="shared" si="0"/>
        <v>75</v>
      </c>
      <c r="AO70" s="97"/>
    </row>
    <row r="71" spans="1:77" ht="13.5" thickBot="1" x14ac:dyDescent="0.25">
      <c r="B71" s="329" t="s">
        <v>721</v>
      </c>
      <c r="C71" s="82" t="s">
        <v>563</v>
      </c>
      <c r="D71" s="93">
        <v>6</v>
      </c>
      <c r="E71" s="92" t="s">
        <v>712</v>
      </c>
      <c r="F71" s="330" t="s">
        <v>919</v>
      </c>
      <c r="G71" s="356"/>
      <c r="H71" s="357" t="s">
        <v>23</v>
      </c>
      <c r="I71" s="357"/>
      <c r="J71" s="357"/>
      <c r="K71" s="357" t="s">
        <v>23</v>
      </c>
      <c r="L71" s="358" t="s">
        <v>23</v>
      </c>
      <c r="M71" s="359"/>
      <c r="N71" s="357" t="s">
        <v>23</v>
      </c>
      <c r="O71" s="357"/>
      <c r="P71" s="357" t="s">
        <v>23</v>
      </c>
      <c r="Q71" s="357"/>
      <c r="R71" s="357" t="s">
        <v>23</v>
      </c>
      <c r="S71" s="357" t="s">
        <v>23</v>
      </c>
      <c r="T71" s="357"/>
      <c r="U71" s="357"/>
      <c r="V71" s="357"/>
      <c r="W71" s="357"/>
      <c r="X71" s="357"/>
      <c r="Y71" s="357"/>
      <c r="Z71" s="358"/>
      <c r="AA71" s="367">
        <v>2</v>
      </c>
      <c r="AB71" s="105"/>
      <c r="AC71" s="105">
        <v>14</v>
      </c>
      <c r="AD71" s="105"/>
      <c r="AE71" s="105">
        <v>36</v>
      </c>
      <c r="AF71" s="105"/>
      <c r="AG71" s="105"/>
      <c r="AH71" s="105"/>
      <c r="AI71" s="105">
        <v>98</v>
      </c>
      <c r="AJ71" s="105"/>
      <c r="AK71" s="105"/>
      <c r="AL71" s="367">
        <v>20</v>
      </c>
      <c r="AM71" s="105">
        <v>130</v>
      </c>
      <c r="AN71" s="368">
        <f t="shared" si="0"/>
        <v>150</v>
      </c>
    </row>
    <row r="72" spans="1:77" x14ac:dyDescent="0.2">
      <c r="B72" s="3" t="s">
        <v>67</v>
      </c>
    </row>
    <row r="73" spans="1:77" x14ac:dyDescent="0.2">
      <c r="B73" s="100"/>
    </row>
    <row r="74" spans="1:77" ht="16.5" customHeight="1" x14ac:dyDescent="0.2">
      <c r="B74" s="103"/>
      <c r="C74" s="97"/>
      <c r="D74" s="31"/>
      <c r="E74" s="31"/>
      <c r="F74" s="1324"/>
      <c r="G74" s="1324"/>
      <c r="H74" s="1324"/>
      <c r="I74" s="1324"/>
      <c r="J74" s="1324"/>
      <c r="K74" s="1324"/>
      <c r="L74" s="1324"/>
      <c r="M74" s="1324"/>
      <c r="N74" s="1324"/>
      <c r="O74" s="1324"/>
      <c r="P74" s="1324"/>
      <c r="Q74" s="1324"/>
      <c r="R74" s="1324"/>
      <c r="S74" s="1324"/>
      <c r="T74" s="1324"/>
      <c r="U74" s="1324"/>
      <c r="V74" s="1324"/>
      <c r="W74" s="1324"/>
      <c r="X74" s="31"/>
      <c r="Y74" s="95"/>
      <c r="Z74" s="95"/>
      <c r="AA74" s="95"/>
      <c r="AB74" s="95"/>
      <c r="AC74" s="95"/>
      <c r="AD74" s="95"/>
      <c r="AE74" s="95"/>
      <c r="AF74" s="1324"/>
      <c r="AG74" s="1324"/>
      <c r="AH74" s="1324"/>
      <c r="AI74" s="1324"/>
      <c r="AJ74" s="1324"/>
      <c r="AK74" s="1324"/>
      <c r="AL74" s="1324"/>
      <c r="AM74" s="1324"/>
      <c r="AN74" s="1324"/>
      <c r="AO74" s="1324"/>
      <c r="AP74" s="1324"/>
      <c r="AQ74" s="1324"/>
      <c r="AR74" s="1324"/>
      <c r="AS74" s="95"/>
      <c r="AT74" s="1324"/>
      <c r="AU74" s="1324"/>
      <c r="AV74" s="1324"/>
      <c r="AW74" s="1324"/>
      <c r="AX74" s="1324"/>
      <c r="AY74" s="1324"/>
      <c r="AZ74" s="1324"/>
      <c r="BA74" s="1324"/>
      <c r="BB74" s="1324"/>
      <c r="BC74" s="1324"/>
      <c r="BD74" s="1324"/>
      <c r="BE74" s="1324"/>
      <c r="BF74" s="1324"/>
      <c r="BG74" s="1324"/>
      <c r="BH74" s="1324"/>
      <c r="BI74" s="1324"/>
      <c r="BJ74" s="1324"/>
      <c r="BK74" s="1324"/>
      <c r="BL74" s="1324"/>
      <c r="BM74" s="1324"/>
      <c r="BN74" s="1324"/>
      <c r="BO74" s="1324"/>
      <c r="BP74" s="1324"/>
      <c r="BQ74" s="1324"/>
      <c r="BR74" s="1324"/>
      <c r="BS74" s="1324"/>
      <c r="BT74" s="1324"/>
      <c r="BU74" s="1324"/>
    </row>
    <row r="75" spans="1:77" ht="18" x14ac:dyDescent="0.25">
      <c r="B75" s="282"/>
      <c r="C75" s="282"/>
      <c r="D75" s="283"/>
      <c r="E75" s="283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31"/>
      <c r="Y75" s="282"/>
      <c r="Z75" s="282"/>
      <c r="AA75" s="282"/>
      <c r="AB75" s="282"/>
      <c r="AC75" s="282"/>
      <c r="AD75" s="282"/>
      <c r="AE75" s="282"/>
      <c r="AF75" s="285"/>
      <c r="AG75" s="285"/>
      <c r="AH75" s="285"/>
      <c r="AI75" s="285"/>
      <c r="AJ75" s="285"/>
      <c r="AK75" s="285"/>
      <c r="AL75" s="285"/>
      <c r="AM75" s="285"/>
      <c r="AN75" s="285"/>
      <c r="AO75" s="285"/>
      <c r="AP75" s="286"/>
      <c r="AQ75" s="286"/>
      <c r="AR75" s="286"/>
      <c r="AS75" s="95"/>
      <c r="AT75" s="285"/>
      <c r="AU75" s="285"/>
      <c r="AV75" s="285"/>
      <c r="AW75" s="285"/>
      <c r="AX75" s="285"/>
      <c r="AY75" s="285"/>
      <c r="AZ75" s="285"/>
      <c r="BA75" s="285"/>
      <c r="BB75" s="285"/>
      <c r="BC75" s="285"/>
      <c r="BD75" s="285"/>
      <c r="BE75" s="286"/>
      <c r="BF75" s="286"/>
      <c r="BG75" s="286"/>
      <c r="BH75" s="285"/>
      <c r="BI75" s="285"/>
      <c r="BJ75" s="285"/>
      <c r="BK75" s="285"/>
      <c r="BL75" s="285"/>
      <c r="BM75" s="285"/>
      <c r="BN75" s="285"/>
      <c r="BO75" s="285"/>
      <c r="BP75" s="285"/>
      <c r="BQ75" s="285"/>
      <c r="BR75" s="285"/>
      <c r="BS75" s="286"/>
      <c r="BT75" s="286"/>
      <c r="BU75" s="286"/>
      <c r="BX75" s="287"/>
    </row>
    <row r="76" spans="1:77" x14ac:dyDescent="0.2">
      <c r="B76" s="288"/>
      <c r="C76" s="289"/>
      <c r="D76" s="290"/>
      <c r="E76" s="291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31"/>
      <c r="Y76" s="293"/>
      <c r="Z76" s="289"/>
      <c r="AA76" s="291"/>
      <c r="AB76" s="294"/>
      <c r="AC76" s="290"/>
      <c r="AD76" s="295"/>
      <c r="AE76" s="295"/>
      <c r="AF76" s="95"/>
      <c r="AG76" s="95"/>
      <c r="AH76" s="95"/>
      <c r="AI76" s="95"/>
      <c r="AJ76" s="95"/>
      <c r="AK76" s="95"/>
      <c r="AL76" s="95"/>
      <c r="AM76" s="95"/>
      <c r="AN76" s="95"/>
      <c r="AO76" s="95"/>
      <c r="AP76" s="95"/>
      <c r="AQ76" s="95"/>
      <c r="AR76" s="95"/>
      <c r="AS76" s="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</row>
    <row r="77" spans="1:77" ht="18.75" x14ac:dyDescent="0.3">
      <c r="B77" s="288"/>
      <c r="C77" s="289"/>
      <c r="D77" s="290"/>
      <c r="E77" s="291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31"/>
      <c r="Y77" s="293"/>
      <c r="Z77" s="289"/>
      <c r="AA77" s="291"/>
      <c r="AB77" s="294"/>
      <c r="AC77" s="290"/>
      <c r="AD77" s="295"/>
      <c r="AE77" s="295"/>
      <c r="AF77" s="95"/>
      <c r="AG77" s="95"/>
      <c r="AH77" s="95"/>
      <c r="AI77" s="95"/>
      <c r="AJ77" s="95"/>
      <c r="AK77" s="95"/>
      <c r="AL77" s="95"/>
      <c r="AM77" s="95"/>
      <c r="AN77" s="95"/>
      <c r="AO77" s="95"/>
      <c r="AP77" s="95"/>
      <c r="AQ77" s="95"/>
      <c r="AR77" s="95"/>
      <c r="AS77" s="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X77" s="296"/>
    </row>
    <row r="78" spans="1:77" x14ac:dyDescent="0.2">
      <c r="B78" s="288"/>
      <c r="C78" s="289"/>
      <c r="D78" s="290"/>
      <c r="E78" s="291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31"/>
      <c r="Y78" s="293"/>
      <c r="Z78" s="289"/>
      <c r="AA78" s="291"/>
      <c r="AB78" s="294"/>
      <c r="AC78" s="290"/>
      <c r="AD78" s="295"/>
      <c r="AE78" s="295"/>
      <c r="AF78" s="95"/>
      <c r="AG78" s="95"/>
      <c r="AH78" s="95"/>
      <c r="AI78" s="95"/>
      <c r="AJ78" s="95"/>
      <c r="AK78" s="95"/>
      <c r="AL78" s="95"/>
      <c r="AM78" s="95"/>
      <c r="AN78" s="95"/>
      <c r="AO78" s="95"/>
      <c r="AP78" s="95"/>
      <c r="AQ78" s="95"/>
      <c r="AR78" s="95"/>
      <c r="AS78" s="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</row>
    <row r="79" spans="1:77" x14ac:dyDescent="0.2">
      <c r="B79" s="288"/>
      <c r="C79" s="289"/>
      <c r="D79" s="290"/>
      <c r="E79" s="291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31"/>
      <c r="Y79" s="293"/>
      <c r="Z79" s="289"/>
      <c r="AA79" s="291"/>
      <c r="AB79" s="294"/>
      <c r="AC79" s="290"/>
      <c r="AD79" s="295"/>
      <c r="AE79" s="2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X79" s="297"/>
      <c r="BY79" s="297"/>
    </row>
    <row r="80" spans="1:77" x14ac:dyDescent="0.2">
      <c r="B80" s="288"/>
      <c r="C80" s="289"/>
      <c r="D80" s="290"/>
      <c r="E80" s="291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31"/>
      <c r="Y80" s="293"/>
      <c r="Z80" s="289"/>
      <c r="AA80" s="291"/>
      <c r="AB80" s="294"/>
      <c r="AC80" s="290"/>
      <c r="AD80" s="295"/>
      <c r="AE80" s="2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95"/>
      <c r="AS80" s="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</row>
    <row r="81" spans="2:77" x14ac:dyDescent="0.2">
      <c r="B81" s="288"/>
      <c r="C81" s="289"/>
      <c r="D81" s="290"/>
      <c r="E81" s="291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31"/>
      <c r="Y81" s="293"/>
      <c r="Z81" s="289"/>
      <c r="AA81" s="291"/>
      <c r="AB81" s="294"/>
      <c r="AC81" s="290"/>
      <c r="AD81" s="295"/>
      <c r="AE81" s="295"/>
      <c r="AF81" s="95"/>
      <c r="AG81" s="95"/>
      <c r="AH81" s="95"/>
      <c r="AI81" s="95"/>
      <c r="AJ81" s="95"/>
      <c r="AK81" s="95"/>
      <c r="AL81" s="95"/>
      <c r="AM81" s="95"/>
      <c r="AN81" s="95"/>
      <c r="AO81" s="95"/>
      <c r="AP81" s="95"/>
      <c r="AQ81" s="95"/>
      <c r="AR81" s="95"/>
      <c r="AS81" s="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</row>
    <row r="82" spans="2:77" x14ac:dyDescent="0.2">
      <c r="B82" s="288"/>
      <c r="C82" s="289"/>
      <c r="D82" s="290"/>
      <c r="E82" s="291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31"/>
      <c r="Y82" s="293"/>
      <c r="Z82" s="289"/>
      <c r="AA82" s="291"/>
      <c r="AB82" s="294"/>
      <c r="AC82" s="290"/>
      <c r="AD82" s="295"/>
      <c r="AE82" s="295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  <c r="AQ82" s="95"/>
      <c r="AR82" s="95"/>
      <c r="AS82" s="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</row>
    <row r="83" spans="2:77" x14ac:dyDescent="0.2">
      <c r="B83" s="288"/>
      <c r="C83" s="289"/>
      <c r="D83" s="290"/>
      <c r="E83" s="291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31"/>
      <c r="Y83" s="293"/>
      <c r="Z83" s="289"/>
      <c r="AA83" s="291"/>
      <c r="AB83" s="294"/>
      <c r="AC83" s="290"/>
      <c r="AD83" s="295"/>
      <c r="AE83" s="2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</row>
    <row r="84" spans="2:77" x14ac:dyDescent="0.2">
      <c r="B84" s="288"/>
      <c r="C84" s="289"/>
      <c r="D84" s="290"/>
      <c r="E84" s="291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31"/>
      <c r="Y84" s="293"/>
      <c r="Z84" s="289"/>
      <c r="AA84" s="291"/>
      <c r="AB84" s="294"/>
      <c r="AC84" s="290"/>
      <c r="AD84" s="295"/>
      <c r="AE84" s="2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</row>
    <row r="85" spans="2:77" x14ac:dyDescent="0.2">
      <c r="B85" s="288"/>
      <c r="C85" s="289"/>
      <c r="D85" s="290"/>
      <c r="E85" s="291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31"/>
      <c r="Y85" s="293"/>
      <c r="Z85" s="289"/>
      <c r="AA85" s="291"/>
      <c r="AB85" s="294"/>
      <c r="AC85" s="290"/>
      <c r="AD85" s="295"/>
      <c r="AE85" s="2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</row>
    <row r="86" spans="2:77" x14ac:dyDescent="0.2">
      <c r="B86" s="298"/>
      <c r="C86" s="299"/>
      <c r="D86" s="290"/>
      <c r="E86" s="290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31"/>
      <c r="Y86" s="293"/>
      <c r="Z86" s="289"/>
      <c r="AA86" s="290"/>
      <c r="AB86" s="290"/>
      <c r="AC86" s="295"/>
      <c r="AD86" s="300"/>
      <c r="AE86" s="300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285"/>
      <c r="AQ86" s="285"/>
      <c r="AR86" s="285"/>
      <c r="AS86" s="95"/>
      <c r="AT86" s="106"/>
      <c r="AU86" s="106"/>
      <c r="AV86" s="106"/>
      <c r="AW86" s="106"/>
      <c r="AX86" s="106"/>
      <c r="AY86" s="106"/>
      <c r="AZ86" s="106"/>
      <c r="BA86" s="106"/>
      <c r="BB86" s="106"/>
      <c r="BC86" s="106"/>
      <c r="BD86" s="106"/>
      <c r="BE86" s="285"/>
      <c r="BF86" s="285"/>
      <c r="BG86" s="285"/>
      <c r="BH86" s="97"/>
      <c r="BI86" s="97"/>
      <c r="BJ86" s="97"/>
      <c r="BK86" s="97"/>
      <c r="BL86" s="97"/>
      <c r="BM86" s="97"/>
      <c r="BN86" s="97"/>
      <c r="BO86" s="97"/>
      <c r="BP86" s="97"/>
      <c r="BQ86" s="97"/>
      <c r="BR86" s="97"/>
      <c r="BS86" s="285"/>
      <c r="BT86" s="285"/>
      <c r="BU86" s="285"/>
    </row>
    <row r="87" spans="2:77" x14ac:dyDescent="0.2">
      <c r="B87" s="298"/>
      <c r="C87" s="299"/>
      <c r="D87" s="290"/>
      <c r="E87" s="290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31"/>
      <c r="Y87" s="293"/>
      <c r="Z87" s="289"/>
      <c r="AA87" s="290"/>
      <c r="AB87" s="290"/>
      <c r="AC87" s="295"/>
      <c r="AD87" s="300"/>
      <c r="AE87" s="300"/>
      <c r="AF87" s="95"/>
      <c r="AG87" s="95"/>
      <c r="AH87" s="95"/>
      <c r="AI87" s="95"/>
      <c r="AJ87" s="95"/>
      <c r="AK87" s="95"/>
      <c r="AL87" s="95"/>
      <c r="AM87" s="95"/>
      <c r="AN87" s="95"/>
      <c r="AO87" s="95"/>
      <c r="AP87" s="301"/>
      <c r="AQ87" s="301"/>
      <c r="AR87" s="301"/>
      <c r="AS87" s="95"/>
      <c r="AT87" s="106"/>
      <c r="AU87" s="106"/>
      <c r="AV87" s="106"/>
      <c r="AW87" s="106"/>
      <c r="AX87" s="106"/>
      <c r="AY87" s="106"/>
      <c r="AZ87" s="106"/>
      <c r="BA87" s="106"/>
      <c r="BB87" s="106"/>
      <c r="BC87" s="106"/>
      <c r="BD87" s="106"/>
      <c r="BE87" s="301"/>
      <c r="BF87" s="301"/>
      <c r="BG87" s="301"/>
      <c r="BH87" s="97"/>
      <c r="BI87" s="97"/>
      <c r="BJ87" s="97"/>
      <c r="BK87" s="97"/>
      <c r="BL87" s="97"/>
      <c r="BM87" s="97"/>
      <c r="BN87" s="97"/>
      <c r="BO87" s="97"/>
      <c r="BP87" s="97"/>
      <c r="BQ87" s="97"/>
      <c r="BR87" s="97"/>
      <c r="BS87" s="301"/>
      <c r="BT87" s="301"/>
      <c r="BU87" s="301"/>
    </row>
    <row r="88" spans="2:77" x14ac:dyDescent="0.2">
      <c r="B88" s="302"/>
      <c r="C88" s="97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5"/>
      <c r="AO88" s="95"/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5"/>
      <c r="BC88" s="95"/>
      <c r="BD88" s="95"/>
      <c r="BE88" s="95"/>
      <c r="BF88" s="95"/>
      <c r="BG88" s="95"/>
      <c r="BH88" s="95"/>
      <c r="BI88" s="95"/>
      <c r="BJ88" s="95"/>
      <c r="BK88" s="95"/>
      <c r="BL88" s="95"/>
      <c r="BM88" s="95"/>
      <c r="BN88" s="95"/>
      <c r="BO88" s="95"/>
      <c r="BP88" s="95"/>
      <c r="BQ88" s="95"/>
      <c r="BR88" s="95"/>
      <c r="BS88" s="95"/>
      <c r="BT88" s="95"/>
      <c r="BU88" s="95"/>
    </row>
    <row r="89" spans="2:77" ht="16.5" customHeight="1" x14ac:dyDescent="0.2">
      <c r="B89" s="103"/>
      <c r="C89" s="97"/>
      <c r="D89" s="31"/>
      <c r="E89" s="31"/>
      <c r="F89" s="1324"/>
      <c r="G89" s="1324"/>
      <c r="H89" s="1324"/>
      <c r="I89" s="1324"/>
      <c r="J89" s="1324"/>
      <c r="K89" s="1324"/>
      <c r="L89" s="1324"/>
      <c r="M89" s="1324"/>
      <c r="N89" s="1324"/>
      <c r="O89" s="1324"/>
      <c r="P89" s="1324"/>
      <c r="Q89" s="1324"/>
      <c r="R89" s="1324"/>
      <c r="S89" s="1324"/>
      <c r="T89" s="1324"/>
      <c r="U89" s="1324"/>
      <c r="V89" s="1324"/>
      <c r="W89" s="1324"/>
      <c r="X89" s="31"/>
      <c r="Y89" s="95"/>
      <c r="Z89" s="95"/>
      <c r="AA89" s="95"/>
      <c r="AB89" s="95"/>
      <c r="AC89" s="95"/>
      <c r="AD89" s="95"/>
      <c r="AE89" s="95"/>
      <c r="AF89" s="1324"/>
      <c r="AG89" s="1324"/>
      <c r="AH89" s="1324"/>
      <c r="AI89" s="1324"/>
      <c r="AJ89" s="1324"/>
      <c r="AK89" s="1324"/>
      <c r="AL89" s="1324"/>
      <c r="AM89" s="1324"/>
      <c r="AN89" s="1324"/>
      <c r="AO89" s="1324"/>
      <c r="AP89" s="1324"/>
      <c r="AQ89" s="1324"/>
      <c r="AR89" s="1324"/>
      <c r="AS89" s="95"/>
      <c r="AT89" s="1324"/>
      <c r="AU89" s="1324"/>
      <c r="AV89" s="1324"/>
      <c r="AW89" s="1324"/>
      <c r="AX89" s="1324"/>
      <c r="AY89" s="1324"/>
      <c r="AZ89" s="1324"/>
      <c r="BA89" s="1324"/>
      <c r="BB89" s="1324"/>
      <c r="BC89" s="1324"/>
      <c r="BD89" s="1324"/>
      <c r="BE89" s="1324"/>
      <c r="BF89" s="1324"/>
      <c r="BG89" s="1324"/>
      <c r="BH89" s="1324"/>
      <c r="BI89" s="1324"/>
      <c r="BJ89" s="1324"/>
      <c r="BK89" s="1324"/>
      <c r="BL89" s="1324"/>
      <c r="BM89" s="1324"/>
      <c r="BN89" s="1324"/>
      <c r="BO89" s="1324"/>
      <c r="BP89" s="1324"/>
      <c r="BQ89" s="1324"/>
      <c r="BR89" s="1324"/>
      <c r="BS89" s="1324"/>
      <c r="BT89" s="1324"/>
      <c r="BU89" s="1324"/>
    </row>
    <row r="90" spans="2:77" s="303" customFormat="1" x14ac:dyDescent="0.2">
      <c r="B90" s="282"/>
      <c r="C90" s="282"/>
      <c r="D90" s="282"/>
      <c r="E90" s="282"/>
      <c r="F90" s="286"/>
      <c r="G90" s="286"/>
      <c r="H90" s="286"/>
      <c r="I90" s="286"/>
      <c r="J90" s="286"/>
      <c r="K90" s="286"/>
      <c r="L90" s="286"/>
      <c r="M90" s="286"/>
      <c r="N90" s="286"/>
      <c r="O90" s="286"/>
      <c r="P90" s="286"/>
      <c r="Q90" s="286"/>
      <c r="R90" s="286"/>
      <c r="S90" s="286"/>
      <c r="T90" s="286"/>
      <c r="U90" s="286"/>
      <c r="V90" s="286"/>
      <c r="W90" s="286"/>
      <c r="X90" s="106"/>
      <c r="Y90" s="282"/>
      <c r="Z90" s="282"/>
      <c r="AA90" s="282"/>
      <c r="AB90" s="282"/>
      <c r="AC90" s="282"/>
      <c r="AD90" s="282"/>
      <c r="AE90" s="282"/>
      <c r="AF90" s="286"/>
      <c r="AG90" s="286"/>
      <c r="AH90" s="286"/>
      <c r="AI90" s="286"/>
      <c r="AJ90" s="286"/>
      <c r="AK90" s="286"/>
      <c r="AL90" s="286"/>
      <c r="AM90" s="286"/>
      <c r="AN90" s="286"/>
      <c r="AO90" s="286"/>
      <c r="AP90" s="286"/>
      <c r="AQ90" s="286"/>
      <c r="AR90" s="286"/>
      <c r="AS90" s="106"/>
      <c r="AT90" s="286"/>
      <c r="AU90" s="286"/>
      <c r="AV90" s="286"/>
      <c r="AW90" s="286"/>
      <c r="AX90" s="286"/>
      <c r="AY90" s="286"/>
      <c r="AZ90" s="286"/>
      <c r="BA90" s="286"/>
      <c r="BB90" s="286"/>
      <c r="BC90" s="286"/>
      <c r="BD90" s="286"/>
      <c r="BE90" s="286"/>
      <c r="BF90" s="286"/>
      <c r="BG90" s="286"/>
      <c r="BH90" s="286"/>
      <c r="BI90" s="286"/>
      <c r="BJ90" s="286"/>
      <c r="BK90" s="286"/>
      <c r="BL90" s="286"/>
      <c r="BM90" s="286"/>
      <c r="BN90" s="286"/>
      <c r="BO90" s="286"/>
      <c r="BP90" s="286"/>
      <c r="BQ90" s="286"/>
      <c r="BR90" s="286"/>
      <c r="BS90" s="286"/>
      <c r="BT90" s="286"/>
      <c r="BU90" s="286"/>
      <c r="BX90" s="20"/>
      <c r="BY90" s="20"/>
    </row>
    <row r="91" spans="2:77" x14ac:dyDescent="0.2">
      <c r="B91" s="298"/>
      <c r="C91" s="299"/>
      <c r="D91" s="290"/>
      <c r="E91" s="290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31"/>
      <c r="Y91" s="293"/>
      <c r="Z91" s="289"/>
      <c r="AA91" s="290"/>
      <c r="AB91" s="294"/>
      <c r="AC91" s="295"/>
      <c r="AD91" s="295"/>
      <c r="AE91" s="295"/>
      <c r="AF91" s="95"/>
      <c r="AG91" s="95"/>
      <c r="AH91" s="95"/>
      <c r="AI91" s="95"/>
      <c r="AJ91" s="95"/>
      <c r="AK91" s="95"/>
      <c r="AL91" s="95"/>
      <c r="AM91" s="95"/>
      <c r="AN91" s="95"/>
      <c r="AO91" s="95"/>
      <c r="AP91" s="95"/>
      <c r="AQ91" s="95"/>
      <c r="AR91" s="95"/>
      <c r="AS91" s="95"/>
      <c r="AT91" s="106"/>
      <c r="AU91" s="106"/>
      <c r="AV91" s="106"/>
      <c r="AW91" s="106"/>
      <c r="AX91" s="106"/>
      <c r="AY91" s="106"/>
      <c r="AZ91" s="106"/>
      <c r="BA91" s="106"/>
      <c r="BB91" s="106"/>
      <c r="BC91" s="106"/>
      <c r="BD91" s="106"/>
      <c r="BE91" s="106"/>
      <c r="BF91" s="106"/>
      <c r="BG91" s="106"/>
      <c r="BH91" s="106"/>
      <c r="BI91" s="106"/>
      <c r="BJ91" s="106"/>
      <c r="BK91" s="106"/>
      <c r="BL91" s="106"/>
      <c r="BM91" s="106"/>
      <c r="BN91" s="106"/>
      <c r="BO91" s="106"/>
      <c r="BP91" s="106"/>
      <c r="BQ91" s="106"/>
      <c r="BR91" s="106"/>
      <c r="BS91" s="106"/>
      <c r="BT91" s="106"/>
      <c r="BU91" s="106"/>
    </row>
    <row r="92" spans="2:77" x14ac:dyDescent="0.2">
      <c r="B92" s="298"/>
      <c r="C92" s="299"/>
      <c r="D92" s="290"/>
      <c r="E92" s="290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31"/>
      <c r="Y92" s="293"/>
      <c r="Z92" s="289"/>
      <c r="AA92" s="290"/>
      <c r="AB92" s="290"/>
      <c r="AC92" s="295"/>
      <c r="AD92" s="295"/>
      <c r="AE92" s="295"/>
      <c r="AF92" s="95"/>
      <c r="AG92" s="95"/>
      <c r="AH92" s="95"/>
      <c r="AI92" s="95"/>
      <c r="AJ92" s="95"/>
      <c r="AK92" s="95"/>
      <c r="AL92" s="95"/>
      <c r="AM92" s="95"/>
      <c r="AN92" s="95"/>
      <c r="AO92" s="95"/>
      <c r="AP92" s="95"/>
      <c r="AQ92" s="95"/>
      <c r="AR92" s="95"/>
      <c r="AS92" s="95"/>
      <c r="AT92" s="106"/>
      <c r="AU92" s="106"/>
      <c r="AV92" s="106"/>
      <c r="AW92" s="106"/>
      <c r="AX92" s="106"/>
      <c r="AY92" s="106"/>
      <c r="AZ92" s="106"/>
      <c r="BA92" s="106"/>
      <c r="BB92" s="106"/>
      <c r="BC92" s="106"/>
      <c r="BD92" s="106"/>
      <c r="BE92" s="106"/>
      <c r="BF92" s="106"/>
      <c r="BG92" s="106"/>
      <c r="BH92" s="106"/>
      <c r="BI92" s="106"/>
      <c r="BJ92" s="106"/>
      <c r="BK92" s="106"/>
      <c r="BL92" s="106"/>
      <c r="BM92" s="106"/>
      <c r="BN92" s="106"/>
      <c r="BO92" s="106"/>
      <c r="BP92" s="106"/>
      <c r="BQ92" s="106"/>
      <c r="BR92" s="106"/>
      <c r="BS92" s="106"/>
      <c r="BT92" s="106"/>
      <c r="BU92" s="106"/>
    </row>
    <row r="93" spans="2:77" x14ac:dyDescent="0.2">
      <c r="B93" s="298"/>
      <c r="C93" s="299"/>
      <c r="D93" s="290"/>
      <c r="E93" s="290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31"/>
      <c r="Y93" s="293"/>
      <c r="Z93" s="289"/>
      <c r="AA93" s="290"/>
      <c r="AB93" s="290"/>
      <c r="AC93" s="295"/>
      <c r="AD93" s="295"/>
      <c r="AE93" s="2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  <c r="AQ93" s="95"/>
      <c r="AR93" s="95"/>
      <c r="AS93" s="95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6"/>
      <c r="BE93" s="106"/>
      <c r="BF93" s="106"/>
      <c r="BG93" s="106"/>
      <c r="BH93" s="106"/>
      <c r="BI93" s="106"/>
      <c r="BJ93" s="106"/>
      <c r="BK93" s="106"/>
      <c r="BL93" s="106"/>
      <c r="BM93" s="106"/>
      <c r="BN93" s="106"/>
      <c r="BO93" s="106"/>
      <c r="BP93" s="106"/>
      <c r="BQ93" s="106"/>
      <c r="BR93" s="106"/>
      <c r="BS93" s="106"/>
      <c r="BT93" s="106"/>
      <c r="BU93" s="106"/>
    </row>
    <row r="94" spans="2:77" x14ac:dyDescent="0.2">
      <c r="B94" s="298"/>
      <c r="C94" s="299"/>
      <c r="D94" s="290"/>
      <c r="E94" s="290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31"/>
      <c r="Y94" s="293"/>
      <c r="Z94" s="289"/>
      <c r="AA94" s="290"/>
      <c r="AB94" s="294"/>
      <c r="AC94" s="295"/>
      <c r="AD94" s="295"/>
      <c r="AE94" s="295"/>
      <c r="AF94" s="95"/>
      <c r="AG94" s="95"/>
      <c r="AH94" s="95"/>
      <c r="AI94" s="95"/>
      <c r="AJ94" s="95"/>
      <c r="AK94" s="95"/>
      <c r="AL94" s="95"/>
      <c r="AM94" s="95"/>
      <c r="AN94" s="95"/>
      <c r="AO94" s="95"/>
      <c r="AP94" s="95"/>
      <c r="AQ94" s="95"/>
      <c r="AR94" s="95"/>
      <c r="AS94" s="95"/>
      <c r="AT94" s="106"/>
      <c r="AU94" s="106"/>
      <c r="AV94" s="106"/>
      <c r="AW94" s="106"/>
      <c r="AX94" s="106"/>
      <c r="AY94" s="106"/>
      <c r="AZ94" s="106"/>
      <c r="BA94" s="106"/>
      <c r="BB94" s="106"/>
      <c r="BC94" s="106"/>
      <c r="BD94" s="106"/>
      <c r="BE94" s="106"/>
      <c r="BF94" s="106"/>
      <c r="BG94" s="106"/>
      <c r="BH94" s="106"/>
      <c r="BI94" s="106"/>
      <c r="BJ94" s="106"/>
      <c r="BK94" s="106"/>
      <c r="BL94" s="106"/>
      <c r="BM94" s="106"/>
      <c r="BN94" s="106"/>
      <c r="BO94" s="106"/>
      <c r="BP94" s="106"/>
      <c r="BQ94" s="106"/>
      <c r="BR94" s="106"/>
      <c r="BS94" s="106"/>
      <c r="BT94" s="106"/>
      <c r="BU94" s="106"/>
    </row>
    <row r="95" spans="2:77" x14ac:dyDescent="0.2">
      <c r="B95" s="298"/>
      <c r="C95" s="299"/>
      <c r="D95" s="290"/>
      <c r="E95" s="290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31"/>
      <c r="Y95" s="293"/>
      <c r="Z95" s="289"/>
      <c r="AA95" s="290"/>
      <c r="AB95" s="290"/>
      <c r="AC95" s="295"/>
      <c r="AD95" s="295"/>
      <c r="AE95" s="2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  <c r="AT95" s="106"/>
      <c r="AU95" s="106"/>
      <c r="AV95" s="106"/>
      <c r="AW95" s="106"/>
      <c r="AX95" s="106"/>
      <c r="AY95" s="106"/>
      <c r="AZ95" s="106"/>
      <c r="BA95" s="106"/>
      <c r="BB95" s="106"/>
      <c r="BC95" s="106"/>
      <c r="BD95" s="106"/>
      <c r="BE95" s="106"/>
      <c r="BF95" s="106"/>
      <c r="BG95" s="106"/>
      <c r="BH95" s="106"/>
      <c r="BI95" s="106"/>
      <c r="BJ95" s="106"/>
      <c r="BK95" s="106"/>
      <c r="BL95" s="106"/>
      <c r="BM95" s="106"/>
      <c r="BN95" s="106"/>
      <c r="BO95" s="106"/>
      <c r="BP95" s="106"/>
      <c r="BQ95" s="106"/>
      <c r="BR95" s="106"/>
      <c r="BS95" s="106"/>
      <c r="BT95" s="106"/>
      <c r="BU95" s="106"/>
    </row>
    <row r="96" spans="2:77" x14ac:dyDescent="0.2">
      <c r="B96" s="298"/>
      <c r="C96" s="299"/>
      <c r="D96" s="290"/>
      <c r="E96" s="290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31"/>
      <c r="Y96" s="293"/>
      <c r="Z96" s="289"/>
      <c r="AA96" s="290"/>
      <c r="AB96" s="290"/>
      <c r="AC96" s="295"/>
      <c r="AD96" s="295"/>
      <c r="AE96" s="295"/>
      <c r="AF96" s="95"/>
      <c r="AG96" s="95"/>
      <c r="AH96" s="95"/>
      <c r="AI96" s="95"/>
      <c r="AJ96" s="95"/>
      <c r="AK96" s="95"/>
      <c r="AL96" s="95"/>
      <c r="AM96" s="95"/>
      <c r="AN96" s="95"/>
      <c r="AO96" s="95"/>
      <c r="AP96" s="95"/>
      <c r="AQ96" s="95"/>
      <c r="AR96" s="95"/>
      <c r="AS96" s="95"/>
      <c r="AT96" s="106"/>
      <c r="AU96" s="106"/>
      <c r="AV96" s="106"/>
      <c r="AW96" s="106"/>
      <c r="AX96" s="106"/>
      <c r="AY96" s="106"/>
      <c r="AZ96" s="106"/>
      <c r="BA96" s="106"/>
      <c r="BB96" s="106"/>
      <c r="BC96" s="106"/>
      <c r="BD96" s="106"/>
      <c r="BE96" s="106"/>
      <c r="BF96" s="106"/>
      <c r="BG96" s="106"/>
      <c r="BH96" s="106"/>
      <c r="BI96" s="106"/>
      <c r="BJ96" s="106"/>
      <c r="BK96" s="106"/>
      <c r="BL96" s="106"/>
      <c r="BM96" s="106"/>
      <c r="BN96" s="106"/>
      <c r="BO96" s="106"/>
      <c r="BP96" s="106"/>
      <c r="BQ96" s="106"/>
      <c r="BR96" s="106"/>
      <c r="BS96" s="106"/>
      <c r="BT96" s="106"/>
      <c r="BU96" s="106"/>
    </row>
    <row r="97" spans="1:77" ht="43.5" customHeight="1" x14ac:dyDescent="0.2">
      <c r="B97" s="298"/>
      <c r="C97" s="299"/>
      <c r="D97" s="290"/>
      <c r="E97" s="290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31"/>
      <c r="Y97" s="293"/>
      <c r="Z97" s="289"/>
      <c r="AA97" s="290"/>
      <c r="AB97" s="290"/>
      <c r="AC97" s="295"/>
      <c r="AD97" s="295"/>
      <c r="AE97" s="295"/>
      <c r="AF97" s="95"/>
      <c r="AG97" s="95"/>
      <c r="AH97" s="95"/>
      <c r="AI97" s="95"/>
      <c r="AJ97" s="95"/>
      <c r="AK97" s="95"/>
      <c r="AL97" s="95"/>
      <c r="AM97" s="95"/>
      <c r="AN97" s="95"/>
      <c r="AO97" s="95"/>
      <c r="AP97" s="95"/>
      <c r="AQ97" s="95"/>
      <c r="AR97" s="95"/>
      <c r="AS97" s="95"/>
      <c r="AT97" s="106"/>
      <c r="AU97" s="106"/>
      <c r="AV97" s="106"/>
      <c r="AW97" s="106"/>
      <c r="AX97" s="106"/>
      <c r="AY97" s="106"/>
      <c r="AZ97" s="106"/>
      <c r="BA97" s="106"/>
      <c r="BB97" s="106"/>
      <c r="BC97" s="106"/>
      <c r="BD97" s="106"/>
      <c r="BE97" s="106"/>
      <c r="BF97" s="106"/>
      <c r="BG97" s="106"/>
      <c r="BH97" s="106"/>
      <c r="BI97" s="106"/>
      <c r="BJ97" s="106"/>
      <c r="BK97" s="106"/>
      <c r="BL97" s="106"/>
      <c r="BM97" s="106"/>
      <c r="BN97" s="106"/>
      <c r="BO97" s="106"/>
      <c r="BP97" s="106"/>
      <c r="BQ97" s="106"/>
      <c r="BR97" s="106"/>
      <c r="BS97" s="106"/>
      <c r="BT97" s="106"/>
      <c r="BU97" s="106"/>
    </row>
    <row r="98" spans="1:77" x14ac:dyDescent="0.2">
      <c r="B98" s="298"/>
      <c r="C98" s="299"/>
      <c r="D98" s="290"/>
      <c r="E98" s="290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31"/>
      <c r="Y98" s="293"/>
      <c r="Z98" s="289"/>
      <c r="AA98" s="290"/>
      <c r="AB98" s="290"/>
      <c r="AC98" s="295"/>
      <c r="AD98" s="295"/>
      <c r="AE98" s="295"/>
      <c r="AF98" s="95"/>
      <c r="AG98" s="95"/>
      <c r="AH98" s="95"/>
      <c r="AI98" s="95"/>
      <c r="AJ98" s="95"/>
      <c r="AK98" s="95"/>
      <c r="AL98" s="95"/>
      <c r="AM98" s="95"/>
      <c r="AN98" s="95"/>
      <c r="AO98" s="95"/>
      <c r="AP98" s="95"/>
      <c r="AQ98" s="95"/>
      <c r="AR98" s="95"/>
      <c r="AS98" s="95"/>
      <c r="AT98" s="106"/>
      <c r="AU98" s="106"/>
      <c r="AV98" s="106"/>
      <c r="AW98" s="106"/>
      <c r="AX98" s="106"/>
      <c r="AY98" s="106"/>
      <c r="AZ98" s="106"/>
      <c r="BA98" s="106"/>
      <c r="BB98" s="106"/>
      <c r="BC98" s="106"/>
      <c r="BD98" s="106"/>
      <c r="BE98" s="106"/>
      <c r="BF98" s="106"/>
      <c r="BG98" s="106"/>
      <c r="BH98" s="106"/>
      <c r="BI98" s="106"/>
      <c r="BJ98" s="106"/>
      <c r="BK98" s="106"/>
      <c r="BL98" s="106"/>
      <c r="BM98" s="106"/>
      <c r="BN98" s="106"/>
      <c r="BO98" s="106"/>
      <c r="BP98" s="106"/>
      <c r="BQ98" s="106"/>
      <c r="BR98" s="106"/>
      <c r="BS98" s="106"/>
      <c r="BT98" s="106"/>
      <c r="BU98" s="106"/>
    </row>
    <row r="99" spans="1:77" x14ac:dyDescent="0.2">
      <c r="B99" s="298"/>
      <c r="C99" s="299"/>
      <c r="D99" s="290"/>
      <c r="E99" s="290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31"/>
      <c r="Y99" s="293"/>
      <c r="Z99" s="289"/>
      <c r="AA99" s="290"/>
      <c r="AB99" s="290"/>
      <c r="AC99" s="295"/>
      <c r="AD99" s="295"/>
      <c r="AE99" s="295"/>
      <c r="AF99" s="95"/>
      <c r="AG99" s="95"/>
      <c r="AH99" s="95"/>
      <c r="AI99" s="95"/>
      <c r="AJ99" s="95"/>
      <c r="AK99" s="95"/>
      <c r="AL99" s="95"/>
      <c r="AM99" s="95"/>
      <c r="AN99" s="95"/>
      <c r="AO99" s="95"/>
      <c r="AP99" s="95"/>
      <c r="AQ99" s="95"/>
      <c r="AR99" s="95"/>
      <c r="AS99" s="95"/>
      <c r="AT99" s="106"/>
      <c r="AU99" s="106"/>
      <c r="AV99" s="106"/>
      <c r="AW99" s="106"/>
      <c r="AX99" s="106"/>
      <c r="AY99" s="106"/>
      <c r="AZ99" s="106"/>
      <c r="BA99" s="106"/>
      <c r="BB99" s="106"/>
      <c r="BC99" s="106"/>
      <c r="BD99" s="106"/>
      <c r="BE99" s="106"/>
      <c r="BF99" s="106"/>
      <c r="BG99" s="106"/>
      <c r="BH99" s="106"/>
      <c r="BI99" s="106"/>
      <c r="BJ99" s="106"/>
      <c r="BK99" s="106"/>
      <c r="BL99" s="106"/>
      <c r="BM99" s="106"/>
      <c r="BN99" s="106"/>
      <c r="BO99" s="106"/>
      <c r="BP99" s="106"/>
      <c r="BQ99" s="106"/>
      <c r="BR99" s="106"/>
      <c r="BS99" s="106"/>
      <c r="BT99" s="106"/>
      <c r="BU99" s="106"/>
    </row>
    <row r="100" spans="1:77" ht="57.75" customHeight="1" x14ac:dyDescent="0.2">
      <c r="B100" s="298"/>
      <c r="C100" s="299"/>
      <c r="D100" s="290"/>
      <c r="E100" s="290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31"/>
      <c r="Y100" s="293"/>
      <c r="Z100" s="289"/>
      <c r="AA100" s="290"/>
      <c r="AB100" s="290"/>
      <c r="AC100" s="295"/>
      <c r="AD100" s="295"/>
      <c r="AE100" s="295"/>
      <c r="AF100" s="95"/>
      <c r="AG100" s="95"/>
      <c r="AH100" s="95"/>
      <c r="AI100" s="95"/>
      <c r="AJ100" s="95"/>
      <c r="AK100" s="95"/>
      <c r="AL100" s="95"/>
      <c r="AM100" s="95"/>
      <c r="AN100" s="95"/>
      <c r="AO100" s="95"/>
      <c r="AP100" s="95"/>
      <c r="AQ100" s="95"/>
      <c r="AR100" s="95"/>
      <c r="AS100" s="95"/>
      <c r="AT100" s="106"/>
      <c r="AU100" s="106"/>
      <c r="AV100" s="106"/>
      <c r="AW100" s="106"/>
      <c r="AX100" s="106"/>
      <c r="AY100" s="106"/>
      <c r="AZ100" s="106"/>
      <c r="BA100" s="106"/>
      <c r="BB100" s="106"/>
      <c r="BC100" s="106"/>
      <c r="BD100" s="106"/>
      <c r="BE100" s="106"/>
      <c r="BF100" s="106"/>
      <c r="BG100" s="106"/>
      <c r="BH100" s="106"/>
      <c r="BI100" s="106"/>
      <c r="BJ100" s="106"/>
      <c r="BK100" s="106"/>
      <c r="BL100" s="106"/>
      <c r="BM100" s="106"/>
      <c r="BN100" s="106"/>
      <c r="BO100" s="106"/>
      <c r="BP100" s="106"/>
      <c r="BQ100" s="106"/>
      <c r="BR100" s="106"/>
      <c r="BS100" s="106"/>
      <c r="BT100" s="106"/>
      <c r="BU100" s="106"/>
    </row>
    <row r="101" spans="1:77" x14ac:dyDescent="0.2">
      <c r="B101" s="298"/>
      <c r="C101" s="299"/>
      <c r="D101" s="290"/>
      <c r="E101" s="290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31"/>
      <c r="Y101" s="293"/>
      <c r="Z101" s="289"/>
      <c r="AA101" s="290"/>
      <c r="AB101" s="294"/>
      <c r="AC101" s="295"/>
      <c r="AD101" s="295"/>
      <c r="AE101" s="295"/>
      <c r="AF101" s="95"/>
      <c r="AG101" s="95"/>
      <c r="AH101" s="95"/>
      <c r="AI101" s="95"/>
      <c r="AJ101" s="95"/>
      <c r="AK101" s="95"/>
      <c r="AL101" s="95"/>
      <c r="AM101" s="95"/>
      <c r="AN101" s="95"/>
      <c r="AO101" s="95"/>
      <c r="AP101" s="95"/>
      <c r="AQ101" s="95"/>
      <c r="AR101" s="95"/>
      <c r="AS101" s="95"/>
      <c r="AT101" s="106"/>
      <c r="AU101" s="106"/>
      <c r="AV101" s="106"/>
      <c r="AW101" s="106"/>
      <c r="AX101" s="106"/>
      <c r="AY101" s="106"/>
      <c r="AZ101" s="106"/>
      <c r="BA101" s="106"/>
      <c r="BB101" s="106"/>
      <c r="BC101" s="106"/>
      <c r="BD101" s="106"/>
      <c r="BE101" s="106"/>
      <c r="BF101" s="106"/>
      <c r="BG101" s="106"/>
      <c r="BH101" s="106"/>
      <c r="BI101" s="106"/>
      <c r="BJ101" s="106"/>
      <c r="BK101" s="106"/>
      <c r="BL101" s="106"/>
      <c r="BM101" s="106"/>
      <c r="BN101" s="106"/>
      <c r="BO101" s="106"/>
      <c r="BP101" s="106"/>
      <c r="BQ101" s="106"/>
      <c r="BR101" s="106"/>
      <c r="BS101" s="106"/>
      <c r="BT101" s="106"/>
      <c r="BU101" s="106"/>
    </row>
    <row r="102" spans="1:77" x14ac:dyDescent="0.2">
      <c r="B102" s="298"/>
      <c r="C102" s="299"/>
      <c r="D102" s="290"/>
      <c r="E102" s="290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31"/>
      <c r="Y102" s="293"/>
      <c r="Z102" s="289"/>
      <c r="AA102" s="290"/>
      <c r="AB102" s="290"/>
      <c r="AC102" s="295"/>
      <c r="AD102" s="300"/>
      <c r="AE102" s="300"/>
      <c r="AF102" s="95"/>
      <c r="AG102" s="95"/>
      <c r="AH102" s="95"/>
      <c r="AI102" s="95"/>
      <c r="AJ102" s="95"/>
      <c r="AK102" s="95"/>
      <c r="AL102" s="95"/>
      <c r="AM102" s="95"/>
      <c r="AN102" s="95"/>
      <c r="AO102" s="95"/>
      <c r="AP102" s="95"/>
      <c r="AQ102" s="95"/>
      <c r="AR102" s="95"/>
      <c r="AS102" s="95"/>
      <c r="AT102" s="106"/>
      <c r="AU102" s="106"/>
      <c r="AV102" s="106"/>
      <c r="AW102" s="106"/>
      <c r="AX102" s="106"/>
      <c r="AY102" s="106"/>
      <c r="AZ102" s="106"/>
      <c r="BA102" s="106"/>
      <c r="BB102" s="106"/>
      <c r="BC102" s="106"/>
      <c r="BD102" s="106"/>
      <c r="BE102" s="106"/>
      <c r="BF102" s="106"/>
      <c r="BG102" s="106"/>
      <c r="BH102" s="106"/>
      <c r="BI102" s="106"/>
      <c r="BJ102" s="106"/>
      <c r="BK102" s="106"/>
      <c r="BL102" s="106"/>
      <c r="BM102" s="106"/>
      <c r="BN102" s="106"/>
      <c r="BO102" s="106"/>
      <c r="BP102" s="106"/>
      <c r="BQ102" s="106"/>
      <c r="BR102" s="106"/>
      <c r="BS102" s="106"/>
      <c r="BT102" s="106"/>
      <c r="BU102" s="106"/>
    </row>
    <row r="103" spans="1:77" x14ac:dyDescent="0.2">
      <c r="B103" s="298"/>
      <c r="C103" s="299"/>
      <c r="D103" s="290"/>
      <c r="E103" s="290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31"/>
      <c r="Y103" s="293"/>
      <c r="Z103" s="289"/>
      <c r="AA103" s="290"/>
      <c r="AB103" s="290"/>
      <c r="AC103" s="295"/>
      <c r="AD103" s="300"/>
      <c r="AE103" s="300"/>
      <c r="AF103" s="95"/>
      <c r="AG103" s="95"/>
      <c r="AH103" s="95"/>
      <c r="AI103" s="95"/>
      <c r="AJ103" s="95"/>
      <c r="AK103" s="95"/>
      <c r="AL103" s="95"/>
      <c r="AM103" s="95"/>
      <c r="AN103" s="95"/>
      <c r="AO103" s="95"/>
      <c r="AP103" s="285"/>
      <c r="AQ103" s="285"/>
      <c r="AR103" s="285"/>
      <c r="AS103" s="95"/>
      <c r="AT103" s="106"/>
      <c r="AU103" s="106"/>
      <c r="AV103" s="106"/>
      <c r="AW103" s="106"/>
      <c r="AX103" s="106"/>
      <c r="AY103" s="106"/>
      <c r="AZ103" s="106"/>
      <c r="BA103" s="106"/>
      <c r="BB103" s="106"/>
      <c r="BC103" s="106"/>
      <c r="BD103" s="106"/>
      <c r="BE103" s="285"/>
      <c r="BF103" s="285"/>
      <c r="BG103" s="285"/>
      <c r="BH103" s="97"/>
      <c r="BI103" s="97"/>
      <c r="BJ103" s="97"/>
      <c r="BK103" s="97"/>
      <c r="BL103" s="97"/>
      <c r="BM103" s="97"/>
      <c r="BN103" s="97"/>
      <c r="BO103" s="97"/>
      <c r="BP103" s="97"/>
      <c r="BQ103" s="97"/>
      <c r="BR103" s="97"/>
      <c r="BS103" s="285"/>
      <c r="BT103" s="285"/>
      <c r="BU103" s="285"/>
    </row>
    <row r="104" spans="1:77" x14ac:dyDescent="0.2">
      <c r="B104" s="298"/>
      <c r="C104" s="299"/>
      <c r="D104" s="290"/>
      <c r="E104" s="290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31"/>
      <c r="Y104" s="293"/>
      <c r="Z104" s="289"/>
      <c r="AA104" s="290"/>
      <c r="AB104" s="290"/>
      <c r="AC104" s="295"/>
      <c r="AD104" s="300"/>
      <c r="AE104" s="300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301"/>
      <c r="AQ104" s="301"/>
      <c r="AR104" s="301"/>
      <c r="AS104" s="95"/>
      <c r="AT104" s="106"/>
      <c r="AU104" s="106"/>
      <c r="AV104" s="106"/>
      <c r="AW104" s="106"/>
      <c r="AX104" s="106"/>
      <c r="AY104" s="106"/>
      <c r="AZ104" s="106"/>
      <c r="BA104" s="106"/>
      <c r="BB104" s="106"/>
      <c r="BC104" s="106"/>
      <c r="BD104" s="106"/>
      <c r="BE104" s="301"/>
      <c r="BF104" s="301"/>
      <c r="BG104" s="301"/>
      <c r="BH104" s="97"/>
      <c r="BI104" s="97"/>
      <c r="BJ104" s="97"/>
      <c r="BK104" s="97"/>
      <c r="BL104" s="97"/>
      <c r="BM104" s="97"/>
      <c r="BN104" s="97"/>
      <c r="BO104" s="97"/>
      <c r="BP104" s="97"/>
      <c r="BQ104" s="97"/>
      <c r="BR104" s="97"/>
      <c r="BS104" s="301"/>
      <c r="BT104" s="301"/>
      <c r="BU104" s="301"/>
    </row>
    <row r="105" spans="1:77" x14ac:dyDescent="0.2">
      <c r="B105" s="103"/>
      <c r="C105" s="97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  <c r="AU105" s="95"/>
      <c r="AV105" s="95"/>
      <c r="AW105" s="95"/>
      <c r="AX105" s="95"/>
      <c r="AY105" s="95"/>
      <c r="AZ105" s="95"/>
      <c r="BA105" s="95"/>
      <c r="BB105" s="95"/>
      <c r="BC105" s="95"/>
      <c r="BD105" s="95"/>
      <c r="BE105" s="95"/>
      <c r="BF105" s="95"/>
      <c r="BG105" s="95"/>
      <c r="BH105" s="95"/>
      <c r="BI105" s="95"/>
      <c r="BJ105" s="95"/>
      <c r="BK105" s="95"/>
      <c r="BL105" s="95"/>
      <c r="BM105" s="95"/>
      <c r="BN105" s="95"/>
      <c r="BO105" s="95"/>
      <c r="BP105" s="95"/>
      <c r="BQ105" s="95"/>
      <c r="BR105" s="95"/>
      <c r="BS105" s="95"/>
      <c r="BT105" s="95"/>
      <c r="BU105" s="95"/>
    </row>
    <row r="106" spans="1:77" ht="16.5" customHeight="1" x14ac:dyDescent="0.2">
      <c r="B106" s="103"/>
      <c r="C106" s="97"/>
      <c r="D106" s="31"/>
      <c r="E106" s="31"/>
      <c r="F106" s="1324"/>
      <c r="G106" s="1324"/>
      <c r="H106" s="1324"/>
      <c r="I106" s="1324"/>
      <c r="J106" s="1324"/>
      <c r="K106" s="1324"/>
      <c r="L106" s="1324"/>
      <c r="M106" s="1324"/>
      <c r="N106" s="1324"/>
      <c r="O106" s="1324"/>
      <c r="P106" s="1324"/>
      <c r="Q106" s="1324"/>
      <c r="R106" s="1324"/>
      <c r="S106" s="1324"/>
      <c r="T106" s="1324"/>
      <c r="U106" s="1324"/>
      <c r="V106" s="1324"/>
      <c r="W106" s="1324"/>
      <c r="X106" s="31"/>
      <c r="Y106" s="95"/>
      <c r="Z106" s="95"/>
      <c r="AA106" s="95"/>
      <c r="AB106" s="95"/>
      <c r="AC106" s="95"/>
      <c r="AD106" s="95"/>
      <c r="AE106" s="95"/>
      <c r="AF106" s="1324"/>
      <c r="AG106" s="1324"/>
      <c r="AH106" s="1324"/>
      <c r="AI106" s="1324"/>
      <c r="AJ106" s="1324"/>
      <c r="AK106" s="1324"/>
      <c r="AL106" s="1324"/>
      <c r="AM106" s="1324"/>
      <c r="AN106" s="1324"/>
      <c r="AO106" s="1324"/>
      <c r="AP106" s="1324"/>
      <c r="AQ106" s="1324"/>
      <c r="AR106" s="1324"/>
      <c r="AS106" s="95"/>
      <c r="AT106" s="1324"/>
      <c r="AU106" s="1324"/>
      <c r="AV106" s="1324"/>
      <c r="AW106" s="1324"/>
      <c r="AX106" s="1324"/>
      <c r="AY106" s="1324"/>
      <c r="AZ106" s="1324"/>
      <c r="BA106" s="1324"/>
      <c r="BB106" s="1324"/>
      <c r="BC106" s="1324"/>
      <c r="BD106" s="1324"/>
      <c r="BE106" s="1324"/>
      <c r="BF106" s="1324"/>
      <c r="BG106" s="1324"/>
      <c r="BH106" s="1324"/>
      <c r="BI106" s="1324"/>
      <c r="BJ106" s="1324"/>
      <c r="BK106" s="1324"/>
      <c r="BL106" s="1324"/>
      <c r="BM106" s="1324"/>
      <c r="BN106" s="1324"/>
      <c r="BO106" s="1324"/>
      <c r="BP106" s="1324"/>
      <c r="BQ106" s="1324"/>
      <c r="BR106" s="1324"/>
      <c r="BS106" s="1324"/>
      <c r="BT106" s="1324"/>
      <c r="BU106" s="1324"/>
    </row>
    <row r="107" spans="1:77" s="96" customFormat="1" x14ac:dyDescent="0.25">
      <c r="B107" s="282"/>
      <c r="C107" s="282"/>
      <c r="D107" s="282"/>
      <c r="E107" s="282"/>
      <c r="F107" s="304"/>
      <c r="G107" s="304"/>
      <c r="H107" s="304"/>
      <c r="I107" s="304"/>
      <c r="J107" s="304"/>
      <c r="K107" s="304"/>
      <c r="L107" s="304"/>
      <c r="M107" s="304"/>
      <c r="N107" s="304"/>
      <c r="O107" s="304"/>
      <c r="P107" s="304"/>
      <c r="Q107" s="304"/>
      <c r="R107" s="304"/>
      <c r="S107" s="304"/>
      <c r="T107" s="304"/>
      <c r="U107" s="304"/>
      <c r="V107" s="304"/>
      <c r="W107" s="304"/>
      <c r="X107" s="97"/>
      <c r="Y107" s="282"/>
      <c r="Z107" s="282"/>
      <c r="AA107" s="282"/>
      <c r="AB107" s="282"/>
      <c r="AC107" s="282"/>
      <c r="AD107" s="282"/>
      <c r="AE107" s="282"/>
      <c r="AF107" s="304"/>
      <c r="AG107" s="304"/>
      <c r="AH107" s="304"/>
      <c r="AI107" s="304"/>
      <c r="AJ107" s="304"/>
      <c r="AK107" s="304"/>
      <c r="AL107" s="304"/>
      <c r="AM107" s="304"/>
      <c r="AN107" s="304"/>
      <c r="AO107" s="304"/>
      <c r="AP107" s="286"/>
      <c r="AQ107" s="286"/>
      <c r="AR107" s="286"/>
      <c r="AS107" s="97"/>
      <c r="AT107" s="304"/>
      <c r="AU107" s="304"/>
      <c r="AV107" s="304"/>
      <c r="AW107" s="304"/>
      <c r="AX107" s="304"/>
      <c r="AY107" s="304"/>
      <c r="AZ107" s="304"/>
      <c r="BA107" s="304"/>
      <c r="BB107" s="304"/>
      <c r="BC107" s="304"/>
      <c r="BD107" s="304"/>
      <c r="BE107" s="286"/>
      <c r="BF107" s="286"/>
      <c r="BG107" s="286"/>
      <c r="BH107" s="304"/>
      <c r="BI107" s="304"/>
      <c r="BJ107" s="304"/>
      <c r="BK107" s="304"/>
      <c r="BL107" s="304"/>
      <c r="BM107" s="304"/>
      <c r="BN107" s="304"/>
      <c r="BO107" s="304"/>
      <c r="BP107" s="304"/>
      <c r="BQ107" s="304"/>
      <c r="BR107" s="304"/>
      <c r="BS107" s="286"/>
      <c r="BT107" s="286"/>
      <c r="BU107" s="286"/>
    </row>
    <row r="108" spans="1:77" s="72" customFormat="1" ht="33" customHeight="1" x14ac:dyDescent="0.2">
      <c r="A108" s="20"/>
      <c r="B108" s="298"/>
      <c r="C108" s="289"/>
      <c r="D108" s="290"/>
      <c r="E108" s="305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87"/>
      <c r="Y108" s="306"/>
      <c r="Z108" s="289"/>
      <c r="AA108" s="305"/>
      <c r="AB108" s="290"/>
      <c r="AC108" s="290"/>
      <c r="AD108" s="307"/>
      <c r="AE108" s="307"/>
      <c r="AF108" s="97"/>
      <c r="AG108" s="97"/>
      <c r="AH108" s="97"/>
      <c r="AI108" s="97"/>
      <c r="AJ108" s="97"/>
      <c r="AK108" s="97"/>
      <c r="AL108" s="97"/>
      <c r="AM108" s="97"/>
      <c r="AN108" s="97"/>
      <c r="AO108" s="97"/>
      <c r="AP108" s="97"/>
      <c r="AQ108" s="97"/>
      <c r="AR108" s="97"/>
      <c r="AS108" s="97"/>
      <c r="AT108" s="106"/>
      <c r="AU108" s="106"/>
      <c r="AV108" s="106"/>
      <c r="AW108" s="106"/>
      <c r="AX108" s="106"/>
      <c r="AY108" s="106"/>
      <c r="AZ108" s="106"/>
      <c r="BA108" s="106"/>
      <c r="BB108" s="106"/>
      <c r="BC108" s="106"/>
      <c r="BD108" s="106"/>
      <c r="BE108" s="106"/>
      <c r="BF108" s="106"/>
      <c r="BG108" s="106"/>
      <c r="BH108" s="106"/>
      <c r="BI108" s="106"/>
      <c r="BJ108" s="106"/>
      <c r="BK108" s="106"/>
      <c r="BL108" s="106"/>
      <c r="BM108" s="106"/>
      <c r="BN108" s="106"/>
      <c r="BO108" s="106"/>
      <c r="BP108" s="106"/>
      <c r="BQ108" s="106"/>
      <c r="BR108" s="106"/>
      <c r="BS108" s="106"/>
      <c r="BT108" s="106"/>
      <c r="BU108" s="106"/>
      <c r="BV108" s="20"/>
      <c r="BW108" s="20"/>
      <c r="BX108" s="20"/>
      <c r="BY108" s="20"/>
    </row>
    <row r="109" spans="1:77" s="72" customFormat="1" ht="45" customHeight="1" x14ac:dyDescent="0.2">
      <c r="A109" s="20"/>
      <c r="B109" s="298"/>
      <c r="C109" s="289"/>
      <c r="D109" s="290"/>
      <c r="E109" s="305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87"/>
      <c r="Y109" s="306"/>
      <c r="Z109" s="289"/>
      <c r="AA109" s="305"/>
      <c r="AB109" s="290"/>
      <c r="AC109" s="290"/>
      <c r="AD109" s="307"/>
      <c r="AE109" s="307"/>
      <c r="AF109" s="97"/>
      <c r="AG109" s="97"/>
      <c r="AH109" s="97"/>
      <c r="AI109" s="97"/>
      <c r="AJ109" s="97"/>
      <c r="AK109" s="97"/>
      <c r="AL109" s="97"/>
      <c r="AM109" s="97"/>
      <c r="AN109" s="97"/>
      <c r="AO109" s="97"/>
      <c r="AP109" s="97"/>
      <c r="AQ109" s="97"/>
      <c r="AR109" s="97"/>
      <c r="AS109" s="97"/>
      <c r="AT109" s="106"/>
      <c r="AU109" s="106"/>
      <c r="AV109" s="106"/>
      <c r="AW109" s="106"/>
      <c r="AX109" s="106"/>
      <c r="AY109" s="106"/>
      <c r="AZ109" s="106"/>
      <c r="BA109" s="106"/>
      <c r="BB109" s="106"/>
      <c r="BC109" s="106"/>
      <c r="BD109" s="106"/>
      <c r="BE109" s="106"/>
      <c r="BF109" s="106"/>
      <c r="BG109" s="106"/>
      <c r="BH109" s="106"/>
      <c r="BI109" s="106"/>
      <c r="BJ109" s="106"/>
      <c r="BK109" s="106"/>
      <c r="BL109" s="106"/>
      <c r="BM109" s="106"/>
      <c r="BN109" s="106"/>
      <c r="BO109" s="106"/>
      <c r="BP109" s="106"/>
      <c r="BQ109" s="106"/>
      <c r="BR109" s="106"/>
      <c r="BS109" s="106"/>
      <c r="BT109" s="106"/>
      <c r="BU109" s="106"/>
      <c r="BV109" s="20"/>
      <c r="BW109" s="20"/>
      <c r="BX109" s="20"/>
      <c r="BY109" s="20"/>
    </row>
    <row r="110" spans="1:77" s="72" customFormat="1" x14ac:dyDescent="0.2">
      <c r="A110" s="20"/>
      <c r="B110" s="298"/>
      <c r="C110" s="289"/>
      <c r="D110" s="290"/>
      <c r="E110" s="305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87"/>
      <c r="Y110" s="306"/>
      <c r="Z110" s="289"/>
      <c r="AA110" s="305"/>
      <c r="AB110" s="290"/>
      <c r="AC110" s="290"/>
      <c r="AD110" s="307"/>
      <c r="AE110" s="307"/>
      <c r="AF110" s="97"/>
      <c r="AG110" s="97"/>
      <c r="AH110" s="97"/>
      <c r="AI110" s="97"/>
      <c r="AJ110" s="97"/>
      <c r="AK110" s="97"/>
      <c r="AL110" s="97"/>
      <c r="AM110" s="97"/>
      <c r="AN110" s="97"/>
      <c r="AO110" s="97"/>
      <c r="AP110" s="97"/>
      <c r="AQ110" s="97"/>
      <c r="AR110" s="97"/>
      <c r="AS110" s="97"/>
      <c r="AT110" s="106"/>
      <c r="AU110" s="106"/>
      <c r="AV110" s="106"/>
      <c r="AW110" s="106"/>
      <c r="AX110" s="106"/>
      <c r="AY110" s="106"/>
      <c r="AZ110" s="106"/>
      <c r="BA110" s="106"/>
      <c r="BB110" s="106"/>
      <c r="BC110" s="106"/>
      <c r="BD110" s="106"/>
      <c r="BE110" s="106"/>
      <c r="BF110" s="106"/>
      <c r="BG110" s="106"/>
      <c r="BH110" s="106"/>
      <c r="BI110" s="106"/>
      <c r="BJ110" s="106"/>
      <c r="BK110" s="106"/>
      <c r="BL110" s="106"/>
      <c r="BM110" s="106"/>
      <c r="BN110" s="106"/>
      <c r="BO110" s="106"/>
      <c r="BP110" s="106"/>
      <c r="BQ110" s="106"/>
      <c r="BR110" s="106"/>
      <c r="BS110" s="106"/>
      <c r="BT110" s="106"/>
      <c r="BU110" s="106"/>
      <c r="BV110" s="20"/>
      <c r="BW110" s="20"/>
      <c r="BX110" s="20"/>
      <c r="BY110" s="20"/>
    </row>
    <row r="111" spans="1:77" s="72" customFormat="1" x14ac:dyDescent="0.2">
      <c r="A111" s="20"/>
      <c r="B111" s="298"/>
      <c r="C111" s="289"/>
      <c r="D111" s="290"/>
      <c r="E111" s="305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87"/>
      <c r="Y111" s="306"/>
      <c r="Z111" s="289"/>
      <c r="AA111" s="305"/>
      <c r="AB111" s="290"/>
      <c r="AC111" s="290"/>
      <c r="AD111" s="307"/>
      <c r="AE111" s="307"/>
      <c r="AF111" s="97"/>
      <c r="AG111" s="97"/>
      <c r="AH111" s="97"/>
      <c r="AI111" s="97"/>
      <c r="AJ111" s="97"/>
      <c r="AK111" s="97"/>
      <c r="AL111" s="97"/>
      <c r="AM111" s="97"/>
      <c r="AN111" s="97"/>
      <c r="AO111" s="97"/>
      <c r="AP111" s="97"/>
      <c r="AQ111" s="97"/>
      <c r="AR111" s="97"/>
      <c r="AS111" s="97"/>
      <c r="AT111" s="106"/>
      <c r="AU111" s="106"/>
      <c r="AV111" s="106"/>
      <c r="AW111" s="106"/>
      <c r="AX111" s="106"/>
      <c r="AY111" s="106"/>
      <c r="AZ111" s="106"/>
      <c r="BA111" s="106"/>
      <c r="BB111" s="106"/>
      <c r="BC111" s="106"/>
      <c r="BD111" s="106"/>
      <c r="BE111" s="106"/>
      <c r="BF111" s="106"/>
      <c r="BG111" s="106"/>
      <c r="BH111" s="106"/>
      <c r="BI111" s="106"/>
      <c r="BJ111" s="106"/>
      <c r="BK111" s="106"/>
      <c r="BL111" s="106"/>
      <c r="BM111" s="106"/>
      <c r="BN111" s="106"/>
      <c r="BO111" s="106"/>
      <c r="BP111" s="106"/>
      <c r="BQ111" s="106"/>
      <c r="BR111" s="106"/>
      <c r="BS111" s="106"/>
      <c r="BT111" s="106"/>
      <c r="BU111" s="106"/>
      <c r="BV111" s="20"/>
      <c r="BW111" s="20"/>
      <c r="BX111" s="20"/>
      <c r="BY111" s="20"/>
    </row>
    <row r="112" spans="1:77" s="72" customFormat="1" ht="47.25" customHeight="1" x14ac:dyDescent="0.2">
      <c r="A112" s="20"/>
      <c r="B112" s="298"/>
      <c r="C112" s="289"/>
      <c r="D112" s="290"/>
      <c r="E112" s="305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87"/>
      <c r="Y112" s="306"/>
      <c r="Z112" s="289"/>
      <c r="AA112" s="305"/>
      <c r="AB112" s="290"/>
      <c r="AC112" s="290"/>
      <c r="AD112" s="307"/>
      <c r="AE112" s="30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106"/>
      <c r="AU112" s="106"/>
      <c r="AV112" s="106"/>
      <c r="AW112" s="106"/>
      <c r="AX112" s="106"/>
      <c r="AY112" s="106"/>
      <c r="AZ112" s="106"/>
      <c r="BA112" s="106"/>
      <c r="BB112" s="106"/>
      <c r="BC112" s="106"/>
      <c r="BD112" s="106"/>
      <c r="BE112" s="106"/>
      <c r="BF112" s="106"/>
      <c r="BG112" s="106"/>
      <c r="BH112" s="106"/>
      <c r="BI112" s="106"/>
      <c r="BJ112" s="106"/>
      <c r="BK112" s="106"/>
      <c r="BL112" s="106"/>
      <c r="BM112" s="106"/>
      <c r="BN112" s="106"/>
      <c r="BO112" s="106"/>
      <c r="BP112" s="106"/>
      <c r="BQ112" s="106"/>
      <c r="BR112" s="106"/>
      <c r="BS112" s="106"/>
      <c r="BT112" s="106"/>
      <c r="BU112" s="106"/>
      <c r="BV112" s="20"/>
      <c r="BW112" s="20"/>
      <c r="BX112" s="20"/>
      <c r="BY112" s="20"/>
    </row>
    <row r="113" spans="1:77" s="72" customFormat="1" x14ac:dyDescent="0.2">
      <c r="A113" s="20"/>
      <c r="B113" s="298"/>
      <c r="C113" s="289"/>
      <c r="D113" s="290"/>
      <c r="E113" s="305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87"/>
      <c r="Y113" s="306"/>
      <c r="Z113" s="289"/>
      <c r="AA113" s="305"/>
      <c r="AB113" s="290"/>
      <c r="AC113" s="290"/>
      <c r="AD113" s="307"/>
      <c r="AE113" s="307"/>
      <c r="AF113" s="97"/>
      <c r="AG113" s="97"/>
      <c r="AH113" s="97"/>
      <c r="AI113" s="97"/>
      <c r="AJ113" s="97"/>
      <c r="AK113" s="97"/>
      <c r="AL113" s="97"/>
      <c r="AM113" s="97"/>
      <c r="AN113" s="97"/>
      <c r="AO113" s="97"/>
      <c r="AP113" s="97"/>
      <c r="AQ113" s="97"/>
      <c r="AR113" s="97"/>
      <c r="AS113" s="97"/>
      <c r="AT113" s="106"/>
      <c r="AU113" s="106"/>
      <c r="AV113" s="106"/>
      <c r="AW113" s="106"/>
      <c r="AX113" s="106"/>
      <c r="AY113" s="106"/>
      <c r="AZ113" s="106"/>
      <c r="BA113" s="106"/>
      <c r="BB113" s="106"/>
      <c r="BC113" s="106"/>
      <c r="BD113" s="106"/>
      <c r="BE113" s="106"/>
      <c r="BF113" s="106"/>
      <c r="BG113" s="106"/>
      <c r="BH113" s="106"/>
      <c r="BI113" s="106"/>
      <c r="BJ113" s="106"/>
      <c r="BK113" s="106"/>
      <c r="BL113" s="106"/>
      <c r="BM113" s="106"/>
      <c r="BN113" s="106"/>
      <c r="BO113" s="106"/>
      <c r="BP113" s="106"/>
      <c r="BQ113" s="106"/>
      <c r="BR113" s="106"/>
      <c r="BS113" s="106"/>
      <c r="BT113" s="106"/>
      <c r="BU113" s="106"/>
      <c r="BV113" s="20"/>
      <c r="BW113" s="20"/>
    </row>
    <row r="114" spans="1:77" s="72" customFormat="1" x14ac:dyDescent="0.2">
      <c r="A114" s="20"/>
      <c r="B114" s="298"/>
      <c r="C114" s="289"/>
      <c r="D114" s="290"/>
      <c r="E114" s="305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87"/>
      <c r="Y114" s="306"/>
      <c r="Z114" s="289"/>
      <c r="AA114" s="305"/>
      <c r="AB114" s="290"/>
      <c r="AC114" s="290"/>
      <c r="AD114" s="307"/>
      <c r="AE114" s="307"/>
      <c r="AF114" s="97"/>
      <c r="AG114" s="97"/>
      <c r="AH114" s="97"/>
      <c r="AI114" s="97"/>
      <c r="AJ114" s="97"/>
      <c r="AK114" s="97"/>
      <c r="AL114" s="97"/>
      <c r="AM114" s="97"/>
      <c r="AN114" s="97"/>
      <c r="AO114" s="97"/>
      <c r="AP114" s="97"/>
      <c r="AQ114" s="97"/>
      <c r="AR114" s="97"/>
      <c r="AS114" s="97"/>
      <c r="AT114" s="106"/>
      <c r="AU114" s="106"/>
      <c r="AV114" s="106"/>
      <c r="AW114" s="106"/>
      <c r="AX114" s="106"/>
      <c r="AY114" s="106"/>
      <c r="AZ114" s="106"/>
      <c r="BA114" s="106"/>
      <c r="BB114" s="106"/>
      <c r="BC114" s="106"/>
      <c r="BD114" s="106"/>
      <c r="BE114" s="106"/>
      <c r="BF114" s="106"/>
      <c r="BG114" s="106"/>
      <c r="BH114" s="106"/>
      <c r="BI114" s="106"/>
      <c r="BJ114" s="106"/>
      <c r="BK114" s="106"/>
      <c r="BL114" s="106"/>
      <c r="BM114" s="106"/>
      <c r="BN114" s="106"/>
      <c r="BO114" s="106"/>
      <c r="BP114" s="106"/>
      <c r="BQ114" s="106"/>
      <c r="BR114" s="106"/>
      <c r="BS114" s="106"/>
      <c r="BT114" s="106"/>
      <c r="BU114" s="106"/>
      <c r="BV114" s="20"/>
      <c r="BW114" s="20"/>
    </row>
    <row r="115" spans="1:77" s="72" customFormat="1" ht="35.25" customHeight="1" x14ac:dyDescent="0.2">
      <c r="A115" s="20"/>
      <c r="B115" s="298"/>
      <c r="C115" s="289"/>
      <c r="D115" s="290"/>
      <c r="E115" s="305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87"/>
      <c r="Y115" s="306"/>
      <c r="Z115" s="289"/>
      <c r="AA115" s="305"/>
      <c r="AB115" s="290"/>
      <c r="AC115" s="290"/>
      <c r="AD115" s="307"/>
      <c r="AE115" s="307"/>
      <c r="AF115" s="97"/>
      <c r="AG115" s="97"/>
      <c r="AH115" s="97"/>
      <c r="AI115" s="97"/>
      <c r="AJ115" s="97"/>
      <c r="AK115" s="97"/>
      <c r="AL115" s="97"/>
      <c r="AM115" s="97"/>
      <c r="AN115" s="97"/>
      <c r="AO115" s="97"/>
      <c r="AP115" s="97"/>
      <c r="AQ115" s="97"/>
      <c r="AR115" s="97"/>
      <c r="AS115" s="97"/>
      <c r="AT115" s="106"/>
      <c r="AU115" s="106"/>
      <c r="AV115" s="106"/>
      <c r="AW115" s="106"/>
      <c r="AX115" s="106"/>
      <c r="AY115" s="106"/>
      <c r="AZ115" s="106"/>
      <c r="BA115" s="106"/>
      <c r="BB115" s="106"/>
      <c r="BC115" s="106"/>
      <c r="BD115" s="106"/>
      <c r="BE115" s="106"/>
      <c r="BF115" s="106"/>
      <c r="BG115" s="106"/>
      <c r="BH115" s="106"/>
      <c r="BI115" s="106"/>
      <c r="BJ115" s="106"/>
      <c r="BK115" s="106"/>
      <c r="BL115" s="106"/>
      <c r="BM115" s="106"/>
      <c r="BN115" s="106"/>
      <c r="BO115" s="106"/>
      <c r="BP115" s="106"/>
      <c r="BQ115" s="106"/>
      <c r="BR115" s="106"/>
      <c r="BS115" s="106"/>
      <c r="BT115" s="106"/>
      <c r="BU115" s="106"/>
      <c r="BV115" s="20"/>
      <c r="BW115" s="20"/>
    </row>
    <row r="116" spans="1:77" s="72" customFormat="1" x14ac:dyDescent="0.2">
      <c r="A116" s="20"/>
      <c r="B116" s="298"/>
      <c r="C116" s="289"/>
      <c r="D116" s="290"/>
      <c r="E116" s="305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87"/>
      <c r="Y116" s="306"/>
      <c r="Z116" s="289"/>
      <c r="AA116" s="305"/>
      <c r="AB116" s="290"/>
      <c r="AC116" s="290"/>
      <c r="AD116" s="307"/>
      <c r="AE116" s="307"/>
      <c r="AF116" s="97"/>
      <c r="AG116" s="97"/>
      <c r="AH116" s="97"/>
      <c r="AI116" s="97"/>
      <c r="AJ116" s="97"/>
      <c r="AK116" s="97"/>
      <c r="AL116" s="97"/>
      <c r="AM116" s="97"/>
      <c r="AN116" s="97"/>
      <c r="AO116" s="97"/>
      <c r="AP116" s="97"/>
      <c r="AQ116" s="97"/>
      <c r="AR116" s="97"/>
      <c r="AS116" s="97"/>
      <c r="AT116" s="106"/>
      <c r="AU116" s="106"/>
      <c r="AV116" s="106"/>
      <c r="AW116" s="106"/>
      <c r="AX116" s="106"/>
      <c r="AY116" s="106"/>
      <c r="AZ116" s="106"/>
      <c r="BA116" s="106"/>
      <c r="BB116" s="106"/>
      <c r="BC116" s="106"/>
      <c r="BD116" s="106"/>
      <c r="BE116" s="106"/>
      <c r="BF116" s="106"/>
      <c r="BG116" s="106"/>
      <c r="BH116" s="106"/>
      <c r="BI116" s="106"/>
      <c r="BJ116" s="106"/>
      <c r="BK116" s="106"/>
      <c r="BL116" s="106"/>
      <c r="BM116" s="106"/>
      <c r="BN116" s="106"/>
      <c r="BO116" s="106"/>
      <c r="BP116" s="106"/>
      <c r="BQ116" s="106"/>
      <c r="BR116" s="106"/>
      <c r="BS116" s="106"/>
      <c r="BT116" s="106"/>
      <c r="BU116" s="106"/>
      <c r="BV116" s="20"/>
      <c r="BW116" s="20"/>
    </row>
    <row r="117" spans="1:77" s="72" customFormat="1" x14ac:dyDescent="0.2">
      <c r="A117" s="20"/>
      <c r="B117" s="298"/>
      <c r="C117" s="289"/>
      <c r="D117" s="290"/>
      <c r="E117" s="305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87"/>
      <c r="Y117" s="306"/>
      <c r="Z117" s="289"/>
      <c r="AA117" s="305"/>
      <c r="AB117" s="290"/>
      <c r="AC117" s="290"/>
      <c r="AD117" s="295"/>
      <c r="AE117" s="307"/>
      <c r="AF117" s="97"/>
      <c r="AG117" s="97"/>
      <c r="AH117" s="97"/>
      <c r="AI117" s="97"/>
      <c r="AJ117" s="97"/>
      <c r="AK117" s="97"/>
      <c r="AL117" s="97"/>
      <c r="AM117" s="97"/>
      <c r="AN117" s="97"/>
      <c r="AO117" s="97"/>
      <c r="AP117" s="97"/>
      <c r="AQ117" s="97"/>
      <c r="AR117" s="97"/>
      <c r="AS117" s="97"/>
      <c r="AT117" s="106"/>
      <c r="AU117" s="106"/>
      <c r="AV117" s="106"/>
      <c r="AW117" s="106"/>
      <c r="AX117" s="106"/>
      <c r="AY117" s="106"/>
      <c r="AZ117" s="106"/>
      <c r="BA117" s="106"/>
      <c r="BB117" s="106"/>
      <c r="BC117" s="106"/>
      <c r="BD117" s="106"/>
      <c r="BE117" s="106"/>
      <c r="BF117" s="106"/>
      <c r="BG117" s="106"/>
      <c r="BH117" s="106"/>
      <c r="BI117" s="106"/>
      <c r="BJ117" s="106"/>
      <c r="BK117" s="106"/>
      <c r="BL117" s="106"/>
      <c r="BM117" s="106"/>
      <c r="BN117" s="106"/>
      <c r="BO117" s="106"/>
      <c r="BP117" s="106"/>
      <c r="BQ117" s="106"/>
      <c r="BR117" s="106"/>
      <c r="BS117" s="106"/>
      <c r="BT117" s="106"/>
      <c r="BU117" s="106"/>
      <c r="BV117" s="20"/>
      <c r="BW117" s="20"/>
    </row>
    <row r="118" spans="1:77" s="72" customFormat="1" x14ac:dyDescent="0.2">
      <c r="A118" s="20"/>
      <c r="B118" s="298"/>
      <c r="C118" s="289"/>
      <c r="D118" s="290"/>
      <c r="E118" s="305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87"/>
      <c r="Y118" s="306"/>
      <c r="Z118" s="289"/>
      <c r="AA118" s="305"/>
      <c r="AB118" s="290"/>
      <c r="AC118" s="290"/>
      <c r="AD118" s="307"/>
      <c r="AE118" s="307"/>
      <c r="AF118" s="97"/>
      <c r="AG118" s="97"/>
      <c r="AH118" s="97"/>
      <c r="AI118" s="97"/>
      <c r="AJ118" s="97"/>
      <c r="AK118" s="97"/>
      <c r="AL118" s="97"/>
      <c r="AM118" s="97"/>
      <c r="AN118" s="97"/>
      <c r="AO118" s="97"/>
      <c r="AP118" s="97"/>
      <c r="AQ118" s="97"/>
      <c r="AR118" s="97"/>
      <c r="AS118" s="97"/>
      <c r="AT118" s="106"/>
      <c r="AU118" s="106"/>
      <c r="AV118" s="106"/>
      <c r="AW118" s="106"/>
      <c r="AX118" s="106"/>
      <c r="AY118" s="106"/>
      <c r="AZ118" s="106"/>
      <c r="BA118" s="106"/>
      <c r="BB118" s="106"/>
      <c r="BC118" s="106"/>
      <c r="BD118" s="106"/>
      <c r="BE118" s="106"/>
      <c r="BF118" s="106"/>
      <c r="BG118" s="106"/>
      <c r="BH118" s="106"/>
      <c r="BI118" s="106"/>
      <c r="BJ118" s="106"/>
      <c r="BK118" s="106"/>
      <c r="BL118" s="106"/>
      <c r="BM118" s="106"/>
      <c r="BN118" s="106"/>
      <c r="BO118" s="106"/>
      <c r="BP118" s="106"/>
      <c r="BQ118" s="106"/>
      <c r="BR118" s="106"/>
      <c r="BS118" s="106"/>
      <c r="BT118" s="106"/>
      <c r="BU118" s="106"/>
      <c r="BV118" s="20"/>
      <c r="BW118" s="20"/>
    </row>
    <row r="119" spans="1:77" s="72" customFormat="1" x14ac:dyDescent="0.2">
      <c r="A119" s="20"/>
      <c r="B119" s="298"/>
      <c r="C119" s="289"/>
      <c r="D119" s="290"/>
      <c r="E119" s="305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87"/>
      <c r="Y119" s="306"/>
      <c r="Z119" s="289"/>
      <c r="AA119" s="305"/>
      <c r="AB119" s="290"/>
      <c r="AC119" s="290"/>
      <c r="AD119" s="307"/>
      <c r="AE119" s="106"/>
      <c r="AF119" s="97"/>
      <c r="AG119" s="97"/>
      <c r="AH119" s="97"/>
      <c r="AI119" s="97"/>
      <c r="AJ119" s="97"/>
      <c r="AK119" s="97"/>
      <c r="AL119" s="97"/>
      <c r="AM119" s="97"/>
      <c r="AN119" s="97"/>
      <c r="AO119" s="97"/>
      <c r="AP119" s="97"/>
      <c r="AQ119" s="97"/>
      <c r="AR119" s="97"/>
      <c r="AS119" s="97"/>
      <c r="AT119" s="106"/>
      <c r="AU119" s="106"/>
      <c r="AV119" s="106"/>
      <c r="AW119" s="106"/>
      <c r="AX119" s="106"/>
      <c r="AY119" s="106"/>
      <c r="AZ119" s="106"/>
      <c r="BA119" s="106"/>
      <c r="BB119" s="106"/>
      <c r="BC119" s="106"/>
      <c r="BD119" s="106"/>
      <c r="BE119" s="106"/>
      <c r="BF119" s="106"/>
      <c r="BG119" s="106"/>
      <c r="BH119" s="106"/>
      <c r="BI119" s="106"/>
      <c r="BJ119" s="106"/>
      <c r="BK119" s="106"/>
      <c r="BL119" s="106"/>
      <c r="BM119" s="106"/>
      <c r="BN119" s="106"/>
      <c r="BO119" s="106"/>
      <c r="BP119" s="106"/>
      <c r="BQ119" s="106"/>
      <c r="BR119" s="106"/>
      <c r="BS119" s="106"/>
      <c r="BT119" s="106"/>
      <c r="BU119" s="106"/>
      <c r="BV119" s="20"/>
      <c r="BW119" s="20"/>
    </row>
    <row r="120" spans="1:77" s="72" customFormat="1" x14ac:dyDescent="0.2">
      <c r="A120" s="20"/>
      <c r="B120" s="298"/>
      <c r="C120" s="289"/>
      <c r="D120" s="290"/>
      <c r="E120" s="305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87"/>
      <c r="Y120" s="306"/>
      <c r="Z120" s="289"/>
      <c r="AA120" s="305"/>
      <c r="AB120" s="290"/>
      <c r="AC120" s="290"/>
      <c r="AD120" s="300"/>
      <c r="AE120" s="106"/>
      <c r="AF120" s="97"/>
      <c r="AG120" s="97"/>
      <c r="AH120" s="97"/>
      <c r="AI120" s="97"/>
      <c r="AJ120" s="97"/>
      <c r="AK120" s="97"/>
      <c r="AL120" s="97"/>
      <c r="AM120" s="97"/>
      <c r="AN120" s="97"/>
      <c r="AO120" s="97"/>
      <c r="AP120" s="97"/>
      <c r="AQ120" s="97"/>
      <c r="AR120" s="97"/>
      <c r="AS120" s="97"/>
      <c r="AT120" s="106"/>
      <c r="AU120" s="106"/>
      <c r="AV120" s="106"/>
      <c r="AW120" s="106"/>
      <c r="AX120" s="106"/>
      <c r="AY120" s="106"/>
      <c r="AZ120" s="106"/>
      <c r="BA120" s="106"/>
      <c r="BB120" s="106"/>
      <c r="BC120" s="106"/>
      <c r="BD120" s="106"/>
      <c r="BE120" s="106"/>
      <c r="BF120" s="106"/>
      <c r="BG120" s="106"/>
      <c r="BH120" s="106"/>
      <c r="BI120" s="106"/>
      <c r="BJ120" s="106"/>
      <c r="BK120" s="106"/>
      <c r="BL120" s="106"/>
      <c r="BM120" s="106"/>
      <c r="BN120" s="106"/>
      <c r="BO120" s="106"/>
      <c r="BP120" s="106"/>
      <c r="BQ120" s="106"/>
      <c r="BR120" s="106"/>
      <c r="BS120" s="106"/>
      <c r="BT120" s="106"/>
      <c r="BU120" s="106"/>
      <c r="BV120" s="20"/>
      <c r="BW120" s="20"/>
    </row>
    <row r="121" spans="1:77" s="72" customFormat="1" x14ac:dyDescent="0.2">
      <c r="A121" s="20"/>
      <c r="B121" s="298"/>
      <c r="C121" s="289"/>
      <c r="D121" s="290"/>
      <c r="E121" s="305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87"/>
      <c r="Y121" s="306"/>
      <c r="Z121" s="289"/>
      <c r="AA121" s="305"/>
      <c r="AB121" s="290"/>
      <c r="AC121" s="290"/>
      <c r="AD121" s="300"/>
      <c r="AE121" s="106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  <c r="AP121" s="97"/>
      <c r="AQ121" s="97"/>
      <c r="AR121" s="97"/>
      <c r="AS121" s="97"/>
      <c r="AT121" s="106"/>
      <c r="AU121" s="106"/>
      <c r="AV121" s="106"/>
      <c r="AW121" s="106"/>
      <c r="AX121" s="106"/>
      <c r="AY121" s="106"/>
      <c r="AZ121" s="106"/>
      <c r="BA121" s="106"/>
      <c r="BB121" s="106"/>
      <c r="BC121" s="106"/>
      <c r="BD121" s="106"/>
      <c r="BE121" s="106"/>
      <c r="BF121" s="106"/>
      <c r="BG121" s="106"/>
      <c r="BH121" s="106"/>
      <c r="BI121" s="106"/>
      <c r="BJ121" s="106"/>
      <c r="BK121" s="106"/>
      <c r="BL121" s="106"/>
      <c r="BM121" s="106"/>
      <c r="BN121" s="106"/>
      <c r="BO121" s="106"/>
      <c r="BP121" s="106"/>
      <c r="BQ121" s="106"/>
      <c r="BR121" s="106"/>
      <c r="BS121" s="106"/>
      <c r="BT121" s="106"/>
      <c r="BU121" s="106"/>
      <c r="BV121" s="20"/>
      <c r="BW121" s="20"/>
    </row>
    <row r="122" spans="1:77" s="72" customFormat="1" x14ac:dyDescent="0.2">
      <c r="A122" s="20"/>
      <c r="B122" s="298"/>
      <c r="C122" s="289"/>
      <c r="D122" s="290"/>
      <c r="E122" s="305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87"/>
      <c r="Y122" s="306"/>
      <c r="Z122" s="289"/>
      <c r="AA122" s="305"/>
      <c r="AB122" s="290"/>
      <c r="AC122" s="290"/>
      <c r="AD122" s="307"/>
      <c r="AE122" s="106"/>
      <c r="AF122" s="97"/>
      <c r="AG122" s="97"/>
      <c r="AH122" s="97"/>
      <c r="AI122" s="97"/>
      <c r="AJ122" s="97"/>
      <c r="AK122" s="97"/>
      <c r="AL122" s="97"/>
      <c r="AM122" s="97"/>
      <c r="AN122" s="97"/>
      <c r="AO122" s="97"/>
      <c r="AP122" s="97"/>
      <c r="AQ122" s="97"/>
      <c r="AR122" s="97"/>
      <c r="AS122" s="97"/>
      <c r="AT122" s="106"/>
      <c r="AU122" s="106"/>
      <c r="AV122" s="106"/>
      <c r="AW122" s="106"/>
      <c r="AX122" s="106"/>
      <c r="AY122" s="106"/>
      <c r="AZ122" s="106"/>
      <c r="BA122" s="106"/>
      <c r="BB122" s="106"/>
      <c r="BC122" s="106"/>
      <c r="BD122" s="106"/>
      <c r="BE122" s="106"/>
      <c r="BF122" s="106"/>
      <c r="BG122" s="106"/>
      <c r="BH122" s="106"/>
      <c r="BI122" s="106"/>
      <c r="BJ122" s="106"/>
      <c r="BK122" s="106"/>
      <c r="BL122" s="106"/>
      <c r="BM122" s="106"/>
      <c r="BN122" s="106"/>
      <c r="BO122" s="106"/>
      <c r="BP122" s="106"/>
      <c r="BQ122" s="106"/>
      <c r="BR122" s="106"/>
      <c r="BS122" s="106"/>
      <c r="BT122" s="106"/>
      <c r="BU122" s="106"/>
      <c r="BV122" s="20"/>
      <c r="BW122" s="20"/>
    </row>
    <row r="123" spans="1:77" s="72" customFormat="1" x14ac:dyDescent="0.2">
      <c r="A123" s="20"/>
      <c r="B123" s="298"/>
      <c r="C123" s="289"/>
      <c r="D123" s="290"/>
      <c r="E123" s="305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87"/>
      <c r="Y123" s="306"/>
      <c r="Z123" s="289"/>
      <c r="AA123" s="305"/>
      <c r="AB123" s="290"/>
      <c r="AC123" s="290"/>
      <c r="AD123" s="307"/>
      <c r="AE123" s="106"/>
      <c r="AF123" s="97"/>
      <c r="AG123" s="97"/>
      <c r="AH123" s="97"/>
      <c r="AI123" s="97"/>
      <c r="AJ123" s="97"/>
      <c r="AK123" s="97"/>
      <c r="AL123" s="97"/>
      <c r="AM123" s="97"/>
      <c r="AN123" s="97"/>
      <c r="AO123" s="97"/>
      <c r="AP123" s="285"/>
      <c r="AQ123" s="285"/>
      <c r="AR123" s="285"/>
      <c r="AS123" s="97"/>
      <c r="AT123" s="97"/>
      <c r="AU123" s="97"/>
      <c r="AV123" s="97"/>
      <c r="AW123" s="97"/>
      <c r="AX123" s="97"/>
      <c r="AY123" s="97"/>
      <c r="AZ123" s="97"/>
      <c r="BA123" s="97"/>
      <c r="BB123" s="97"/>
      <c r="BC123" s="97"/>
      <c r="BD123" s="97"/>
      <c r="BE123" s="285"/>
      <c r="BF123" s="285"/>
      <c r="BG123" s="285"/>
      <c r="BH123" s="97"/>
      <c r="BI123" s="97"/>
      <c r="BJ123" s="97"/>
      <c r="BK123" s="97"/>
      <c r="BL123" s="97"/>
      <c r="BM123" s="97"/>
      <c r="BN123" s="97"/>
      <c r="BO123" s="97"/>
      <c r="BP123" s="97"/>
      <c r="BQ123" s="97"/>
      <c r="BR123" s="97"/>
      <c r="BS123" s="285"/>
      <c r="BT123" s="285"/>
      <c r="BU123" s="285"/>
      <c r="BV123" s="20"/>
      <c r="BW123" s="20"/>
    </row>
    <row r="124" spans="1:77" s="72" customFormat="1" x14ac:dyDescent="0.2">
      <c r="A124" s="20"/>
      <c r="B124" s="298"/>
      <c r="C124" s="289"/>
      <c r="D124" s="290"/>
      <c r="E124" s="305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87"/>
      <c r="Y124" s="306"/>
      <c r="Z124" s="289"/>
      <c r="AA124" s="305"/>
      <c r="AB124" s="290"/>
      <c r="AC124" s="290"/>
      <c r="AD124" s="307"/>
      <c r="AE124" s="106"/>
      <c r="AF124" s="97"/>
      <c r="AG124" s="97"/>
      <c r="AH124" s="97"/>
      <c r="AI124" s="97"/>
      <c r="AJ124" s="97"/>
      <c r="AK124" s="97"/>
      <c r="AL124" s="97"/>
      <c r="AM124" s="97"/>
      <c r="AN124" s="97"/>
      <c r="AO124" s="97"/>
      <c r="AP124" s="301"/>
      <c r="AQ124" s="301"/>
      <c r="AR124" s="301"/>
      <c r="AS124" s="97"/>
      <c r="AT124" s="97"/>
      <c r="AU124" s="97"/>
      <c r="AV124" s="97"/>
      <c r="AW124" s="97"/>
      <c r="AX124" s="97"/>
      <c r="AY124" s="97"/>
      <c r="AZ124" s="97"/>
      <c r="BA124" s="97"/>
      <c r="BB124" s="97"/>
      <c r="BC124" s="97"/>
      <c r="BD124" s="97"/>
      <c r="BE124" s="301"/>
      <c r="BF124" s="301"/>
      <c r="BG124" s="301"/>
      <c r="BH124" s="97"/>
      <c r="BI124" s="97"/>
      <c r="BJ124" s="97"/>
      <c r="BK124" s="97"/>
      <c r="BL124" s="97"/>
      <c r="BM124" s="97"/>
      <c r="BN124" s="97"/>
      <c r="BO124" s="97"/>
      <c r="BP124" s="97"/>
      <c r="BQ124" s="97"/>
      <c r="BR124" s="97"/>
      <c r="BS124" s="301"/>
      <c r="BT124" s="301"/>
      <c r="BU124" s="301"/>
      <c r="BV124" s="20"/>
      <c r="BW124" s="20"/>
    </row>
    <row r="125" spans="1:77" x14ac:dyDescent="0.2">
      <c r="B125" s="103"/>
      <c r="C125" s="97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293"/>
      <c r="Z125" s="308"/>
      <c r="AA125" s="290"/>
      <c r="AB125" s="290"/>
      <c r="AC125" s="95"/>
      <c r="AD125" s="95"/>
      <c r="AE125" s="95"/>
      <c r="AF125" s="95"/>
      <c r="AG125" s="95"/>
      <c r="AH125" s="95"/>
      <c r="AI125" s="95"/>
      <c r="AJ125" s="95"/>
      <c r="AK125" s="95"/>
      <c r="AL125" s="95"/>
      <c r="AM125" s="95"/>
      <c r="AN125" s="95"/>
      <c r="AO125" s="95"/>
      <c r="AP125" s="20"/>
      <c r="AQ125" s="20"/>
      <c r="AR125" s="20"/>
      <c r="AS125" s="95"/>
      <c r="AT125" s="95"/>
      <c r="AU125" s="95"/>
      <c r="AV125" s="95"/>
      <c r="AW125" s="95"/>
      <c r="AX125" s="95"/>
      <c r="AY125" s="95"/>
      <c r="AZ125" s="95"/>
      <c r="BA125" s="95"/>
      <c r="BB125" s="95"/>
      <c r="BC125" s="95"/>
      <c r="BD125" s="95"/>
      <c r="BE125" s="95"/>
      <c r="BF125" s="95"/>
      <c r="BG125" s="95"/>
      <c r="BH125" s="95"/>
      <c r="BI125" s="95"/>
      <c r="BJ125" s="95"/>
      <c r="BK125" s="95"/>
      <c r="BL125" s="95"/>
      <c r="BM125" s="95"/>
      <c r="BN125" s="95"/>
      <c r="BO125" s="95"/>
      <c r="BP125" s="95"/>
      <c r="BQ125" s="95"/>
      <c r="BR125" s="95"/>
      <c r="BS125" s="95"/>
      <c r="BT125" s="95"/>
      <c r="BU125" s="95"/>
    </row>
    <row r="126" spans="1:77" ht="16.5" customHeight="1" x14ac:dyDescent="0.2">
      <c r="B126" s="103"/>
      <c r="C126" s="97"/>
      <c r="D126" s="31"/>
      <c r="E126" s="31"/>
      <c r="F126" s="1324"/>
      <c r="G126" s="1324"/>
      <c r="H126" s="1324"/>
      <c r="I126" s="1324"/>
      <c r="J126" s="1324"/>
      <c r="K126" s="1324"/>
      <c r="L126" s="1324"/>
      <c r="M126" s="1324"/>
      <c r="N126" s="1324"/>
      <c r="O126" s="1324"/>
      <c r="P126" s="1324"/>
      <c r="Q126" s="1324"/>
      <c r="R126" s="1324"/>
      <c r="S126" s="1324"/>
      <c r="T126" s="1324"/>
      <c r="U126" s="1324"/>
      <c r="V126" s="1324"/>
      <c r="W126" s="1324"/>
      <c r="X126" s="31"/>
      <c r="Y126" s="95"/>
      <c r="Z126" s="95"/>
      <c r="AA126" s="95"/>
      <c r="AB126" s="95"/>
      <c r="AC126" s="95"/>
      <c r="AD126" s="95"/>
      <c r="AE126" s="1324"/>
      <c r="AF126" s="1324"/>
      <c r="AG126" s="1324"/>
      <c r="AH126" s="1324"/>
      <c r="AI126" s="1324"/>
      <c r="AJ126" s="1324"/>
      <c r="AK126" s="1324"/>
      <c r="AL126" s="1324"/>
      <c r="AM126" s="1324"/>
      <c r="AN126" s="1324"/>
      <c r="AO126" s="1324"/>
      <c r="AP126" s="1324"/>
      <c r="AQ126" s="1324"/>
      <c r="AR126" s="1324"/>
      <c r="AS126" s="95"/>
      <c r="AT126" s="1324"/>
      <c r="AU126" s="1324"/>
      <c r="AV126" s="1324"/>
      <c r="AW126" s="1324"/>
      <c r="AX126" s="1324"/>
      <c r="AY126" s="1324"/>
      <c r="AZ126" s="1324"/>
      <c r="BA126" s="1324"/>
      <c r="BB126" s="1324"/>
      <c r="BC126" s="1324"/>
      <c r="BD126" s="1324"/>
      <c r="BE126" s="1324"/>
      <c r="BF126" s="1324"/>
      <c r="BG126" s="1324"/>
      <c r="BH126" s="1324"/>
      <c r="BI126" s="1324"/>
      <c r="BJ126" s="1324"/>
      <c r="BK126" s="1324"/>
      <c r="BL126" s="1324"/>
      <c r="BM126" s="1324"/>
      <c r="BN126" s="1324"/>
      <c r="BO126" s="1324"/>
      <c r="BP126" s="1324"/>
      <c r="BQ126" s="1324"/>
      <c r="BR126" s="1324"/>
      <c r="BS126" s="1324"/>
      <c r="BT126" s="1324"/>
      <c r="BU126" s="1324"/>
    </row>
    <row r="127" spans="1:77" s="303" customFormat="1" x14ac:dyDescent="0.25">
      <c r="B127" s="282"/>
      <c r="C127" s="282"/>
      <c r="D127" s="282"/>
      <c r="E127" s="282"/>
      <c r="F127" s="286"/>
      <c r="G127" s="286"/>
      <c r="H127" s="286"/>
      <c r="I127" s="286"/>
      <c r="J127" s="286"/>
      <c r="K127" s="286"/>
      <c r="L127" s="286"/>
      <c r="M127" s="286"/>
      <c r="N127" s="286"/>
      <c r="O127" s="286"/>
      <c r="P127" s="286"/>
      <c r="Q127" s="286"/>
      <c r="R127" s="286"/>
      <c r="S127" s="286"/>
      <c r="T127" s="286"/>
      <c r="U127" s="286"/>
      <c r="V127" s="286"/>
      <c r="W127" s="286"/>
      <c r="X127" s="106"/>
      <c r="Y127" s="282"/>
      <c r="Z127" s="282"/>
      <c r="AA127" s="282"/>
      <c r="AB127" s="282"/>
      <c r="AC127" s="282"/>
      <c r="AD127" s="282"/>
      <c r="AE127" s="282"/>
      <c r="AF127" s="286"/>
      <c r="AG127" s="286"/>
      <c r="AH127" s="286"/>
      <c r="AI127" s="286"/>
      <c r="AJ127" s="286"/>
      <c r="AK127" s="286"/>
      <c r="AL127" s="286"/>
      <c r="AM127" s="286"/>
      <c r="AN127" s="286"/>
      <c r="AO127" s="286"/>
      <c r="AP127" s="286"/>
      <c r="AQ127" s="286"/>
      <c r="AR127" s="286"/>
      <c r="AS127" s="106"/>
      <c r="AT127" s="286"/>
      <c r="AU127" s="286"/>
      <c r="AV127" s="286"/>
      <c r="AW127" s="286"/>
      <c r="AX127" s="286"/>
      <c r="AY127" s="286"/>
      <c r="AZ127" s="286"/>
      <c r="BA127" s="286"/>
      <c r="BB127" s="286"/>
      <c r="BC127" s="286"/>
      <c r="BD127" s="286"/>
      <c r="BE127" s="286"/>
      <c r="BF127" s="286"/>
      <c r="BG127" s="286"/>
      <c r="BH127" s="286"/>
      <c r="BI127" s="286"/>
      <c r="BJ127" s="286"/>
      <c r="BK127" s="286"/>
      <c r="BL127" s="286"/>
      <c r="BM127" s="286"/>
      <c r="BN127" s="286"/>
      <c r="BO127" s="286"/>
      <c r="BP127" s="286"/>
      <c r="BQ127" s="286"/>
      <c r="BR127" s="286"/>
      <c r="BS127" s="286"/>
      <c r="BT127" s="286"/>
      <c r="BU127" s="286"/>
    </row>
    <row r="128" spans="1:77" s="72" customFormat="1" ht="33" customHeight="1" x14ac:dyDescent="0.2">
      <c r="A128" s="20"/>
      <c r="B128" s="298"/>
      <c r="C128" s="289"/>
      <c r="D128" s="290"/>
      <c r="E128" s="305"/>
      <c r="F128" s="309"/>
      <c r="G128" s="309"/>
      <c r="H128" s="309"/>
      <c r="I128" s="309"/>
      <c r="J128" s="309"/>
      <c r="K128" s="309"/>
      <c r="L128" s="309"/>
      <c r="M128" s="309"/>
      <c r="N128" s="309"/>
      <c r="O128" s="309"/>
      <c r="P128" s="309"/>
      <c r="Q128" s="309"/>
      <c r="R128" s="309"/>
      <c r="S128" s="309"/>
      <c r="T128" s="309"/>
      <c r="U128" s="309"/>
      <c r="V128" s="309"/>
      <c r="W128" s="309"/>
      <c r="X128" s="87"/>
      <c r="Y128" s="306"/>
      <c r="Z128" s="289"/>
      <c r="AA128" s="305"/>
      <c r="AB128" s="290"/>
      <c r="AC128" s="290"/>
      <c r="AD128" s="307"/>
      <c r="AE128" s="307"/>
      <c r="AF128" s="97"/>
      <c r="AG128" s="97"/>
      <c r="AH128" s="97"/>
      <c r="AI128" s="97"/>
      <c r="AJ128" s="97"/>
      <c r="AK128" s="97"/>
      <c r="AL128" s="97"/>
      <c r="AM128" s="97"/>
      <c r="AN128" s="97"/>
      <c r="AO128" s="97"/>
      <c r="AP128" s="97"/>
      <c r="AQ128" s="97"/>
      <c r="AR128" s="97"/>
      <c r="AS128" s="97"/>
      <c r="AT128" s="106"/>
      <c r="AU128" s="106"/>
      <c r="AV128" s="106"/>
      <c r="AW128" s="106"/>
      <c r="AX128" s="106"/>
      <c r="AY128" s="106"/>
      <c r="AZ128" s="106"/>
      <c r="BA128" s="106"/>
      <c r="BB128" s="106"/>
      <c r="BC128" s="106"/>
      <c r="BD128" s="106"/>
      <c r="BE128" s="106"/>
      <c r="BF128" s="106"/>
      <c r="BG128" s="106"/>
      <c r="BH128" s="106"/>
      <c r="BI128" s="106"/>
      <c r="BJ128" s="106"/>
      <c r="BK128" s="106"/>
      <c r="BL128" s="106"/>
      <c r="BM128" s="106"/>
      <c r="BN128" s="106"/>
      <c r="BO128" s="106"/>
      <c r="BP128" s="106"/>
      <c r="BQ128" s="106"/>
      <c r="BR128" s="106"/>
      <c r="BS128" s="106"/>
      <c r="BT128" s="106"/>
      <c r="BU128" s="106"/>
      <c r="BX128" s="20"/>
      <c r="BY128" s="20"/>
    </row>
    <row r="129" spans="1:73" s="72" customFormat="1" ht="35.25" customHeight="1" x14ac:dyDescent="0.2">
      <c r="A129" s="20"/>
      <c r="B129" s="298"/>
      <c r="C129" s="289"/>
      <c r="D129" s="290"/>
      <c r="E129" s="305"/>
      <c r="F129" s="309"/>
      <c r="G129" s="309"/>
      <c r="H129" s="309"/>
      <c r="I129" s="309"/>
      <c r="J129" s="309"/>
      <c r="K129" s="309"/>
      <c r="L129" s="309"/>
      <c r="M129" s="309"/>
      <c r="N129" s="309"/>
      <c r="O129" s="309"/>
      <c r="P129" s="309"/>
      <c r="Q129" s="309"/>
      <c r="R129" s="309"/>
      <c r="S129" s="309"/>
      <c r="T129" s="309"/>
      <c r="U129" s="309"/>
      <c r="V129" s="309"/>
      <c r="W129" s="309"/>
      <c r="X129" s="87"/>
      <c r="Y129" s="306"/>
      <c r="Z129" s="289"/>
      <c r="AA129" s="305"/>
      <c r="AB129" s="290"/>
      <c r="AC129" s="290"/>
      <c r="AD129" s="307"/>
      <c r="AE129" s="307"/>
      <c r="AF129" s="97"/>
      <c r="AG129" s="97"/>
      <c r="AH129" s="97"/>
      <c r="AI129" s="97"/>
      <c r="AJ129" s="97"/>
      <c r="AK129" s="97"/>
      <c r="AL129" s="97"/>
      <c r="AM129" s="97"/>
      <c r="AN129" s="97"/>
      <c r="AO129" s="97"/>
      <c r="AP129" s="97"/>
      <c r="AQ129" s="97"/>
      <c r="AR129" s="97"/>
      <c r="AS129" s="97"/>
      <c r="AT129" s="106"/>
      <c r="AU129" s="106"/>
      <c r="AV129" s="106"/>
      <c r="AW129" s="106"/>
      <c r="AX129" s="106"/>
      <c r="AY129" s="106"/>
      <c r="AZ129" s="106"/>
      <c r="BA129" s="106"/>
      <c r="BB129" s="106"/>
      <c r="BC129" s="106"/>
      <c r="BD129" s="106"/>
      <c r="BE129" s="106"/>
      <c r="BF129" s="106"/>
      <c r="BG129" s="106"/>
      <c r="BH129" s="106"/>
      <c r="BI129" s="106"/>
      <c r="BJ129" s="106"/>
      <c r="BK129" s="106"/>
      <c r="BL129" s="106"/>
      <c r="BM129" s="106"/>
      <c r="BN129" s="106"/>
      <c r="BO129" s="106"/>
      <c r="BP129" s="106"/>
      <c r="BQ129" s="106"/>
      <c r="BR129" s="106"/>
      <c r="BS129" s="106"/>
      <c r="BT129" s="106"/>
      <c r="BU129" s="106"/>
    </row>
    <row r="130" spans="1:73" s="72" customFormat="1" ht="35.25" customHeight="1" x14ac:dyDescent="0.2">
      <c r="A130" s="20"/>
      <c r="B130" s="298"/>
      <c r="C130" s="289"/>
      <c r="D130" s="290"/>
      <c r="E130" s="305"/>
      <c r="F130" s="309"/>
      <c r="G130" s="309"/>
      <c r="H130" s="309"/>
      <c r="I130" s="309"/>
      <c r="J130" s="309"/>
      <c r="K130" s="309"/>
      <c r="L130" s="309"/>
      <c r="M130" s="309"/>
      <c r="N130" s="309"/>
      <c r="O130" s="309"/>
      <c r="P130" s="309"/>
      <c r="Q130" s="309"/>
      <c r="R130" s="309"/>
      <c r="S130" s="309"/>
      <c r="T130" s="309"/>
      <c r="U130" s="309"/>
      <c r="V130" s="309"/>
      <c r="W130" s="309"/>
      <c r="X130" s="87"/>
      <c r="Y130" s="306"/>
      <c r="Z130" s="289"/>
      <c r="AA130" s="305"/>
      <c r="AB130" s="290"/>
      <c r="AC130" s="290"/>
      <c r="AD130" s="307"/>
      <c r="AE130" s="307"/>
      <c r="AF130" s="97"/>
      <c r="AG130" s="97"/>
      <c r="AH130" s="97"/>
      <c r="AI130" s="97"/>
      <c r="AJ130" s="97"/>
      <c r="AK130" s="97"/>
      <c r="AL130" s="97"/>
      <c r="AM130" s="97"/>
      <c r="AN130" s="97"/>
      <c r="AO130" s="97"/>
      <c r="AP130" s="97"/>
      <c r="AQ130" s="97"/>
      <c r="AR130" s="97"/>
      <c r="AS130" s="97"/>
      <c r="AT130" s="106"/>
      <c r="AU130" s="106"/>
      <c r="AV130" s="106"/>
      <c r="AW130" s="106"/>
      <c r="AX130" s="106"/>
      <c r="AY130" s="106"/>
      <c r="AZ130" s="106"/>
      <c r="BA130" s="106"/>
      <c r="BB130" s="106"/>
      <c r="BC130" s="106"/>
      <c r="BD130" s="106"/>
      <c r="BE130" s="106"/>
      <c r="BF130" s="106"/>
      <c r="BG130" s="106"/>
      <c r="BH130" s="106"/>
      <c r="BI130" s="106"/>
      <c r="BJ130" s="106"/>
      <c r="BK130" s="106"/>
      <c r="BL130" s="106"/>
      <c r="BM130" s="106"/>
      <c r="BN130" s="106"/>
      <c r="BO130" s="106"/>
      <c r="BP130" s="106"/>
      <c r="BQ130" s="106"/>
      <c r="BR130" s="106"/>
      <c r="BS130" s="106"/>
      <c r="BT130" s="106"/>
      <c r="BU130" s="106"/>
    </row>
    <row r="131" spans="1:73" s="72" customFormat="1" ht="35.25" customHeight="1" x14ac:dyDescent="0.2">
      <c r="A131" s="20"/>
      <c r="B131" s="298"/>
      <c r="C131" s="289"/>
      <c r="D131" s="290"/>
      <c r="E131" s="305"/>
      <c r="F131" s="309"/>
      <c r="G131" s="309"/>
      <c r="H131" s="309"/>
      <c r="I131" s="309"/>
      <c r="J131" s="309"/>
      <c r="K131" s="309"/>
      <c r="L131" s="309"/>
      <c r="M131" s="309"/>
      <c r="N131" s="309"/>
      <c r="O131" s="309"/>
      <c r="P131" s="309"/>
      <c r="Q131" s="309"/>
      <c r="R131" s="309"/>
      <c r="S131" s="309"/>
      <c r="T131" s="309"/>
      <c r="U131" s="309"/>
      <c r="V131" s="309"/>
      <c r="W131" s="309"/>
      <c r="X131" s="87"/>
      <c r="Y131" s="306"/>
      <c r="Z131" s="289"/>
      <c r="AA131" s="305"/>
      <c r="AB131" s="290"/>
      <c r="AC131" s="290"/>
      <c r="AD131" s="307"/>
      <c r="AE131" s="307"/>
      <c r="AF131" s="97"/>
      <c r="AG131" s="97"/>
      <c r="AH131" s="97"/>
      <c r="AI131" s="97"/>
      <c r="AJ131" s="97"/>
      <c r="AK131" s="97"/>
      <c r="AL131" s="97"/>
      <c r="AM131" s="97"/>
      <c r="AN131" s="97"/>
      <c r="AO131" s="97"/>
      <c r="AP131" s="97"/>
      <c r="AQ131" s="97"/>
      <c r="AR131" s="97"/>
      <c r="AS131" s="97"/>
      <c r="AT131" s="106"/>
      <c r="AU131" s="106"/>
      <c r="AV131" s="106"/>
      <c r="AW131" s="106"/>
      <c r="AX131" s="106"/>
      <c r="AY131" s="106"/>
      <c r="AZ131" s="106"/>
      <c r="BA131" s="106"/>
      <c r="BB131" s="106"/>
      <c r="BC131" s="106"/>
      <c r="BD131" s="106"/>
      <c r="BE131" s="106"/>
      <c r="BF131" s="106"/>
      <c r="BG131" s="106"/>
      <c r="BH131" s="106"/>
      <c r="BI131" s="106"/>
      <c r="BJ131" s="106"/>
      <c r="BK131" s="106"/>
      <c r="BL131" s="106"/>
      <c r="BM131" s="106"/>
      <c r="BN131" s="106"/>
      <c r="BO131" s="106"/>
      <c r="BP131" s="106"/>
      <c r="BQ131" s="106"/>
      <c r="BR131" s="106"/>
      <c r="BS131" s="106"/>
      <c r="BT131" s="106"/>
      <c r="BU131" s="106"/>
    </row>
    <row r="132" spans="1:73" s="72" customFormat="1" ht="35.25" customHeight="1" x14ac:dyDescent="0.2">
      <c r="A132" s="20"/>
      <c r="B132" s="298"/>
      <c r="C132" s="289"/>
      <c r="D132" s="290"/>
      <c r="E132" s="305"/>
      <c r="F132" s="309"/>
      <c r="G132" s="309"/>
      <c r="H132" s="309"/>
      <c r="I132" s="309"/>
      <c r="J132" s="309"/>
      <c r="K132" s="309"/>
      <c r="L132" s="309"/>
      <c r="M132" s="309"/>
      <c r="N132" s="309"/>
      <c r="O132" s="309"/>
      <c r="P132" s="309"/>
      <c r="Q132" s="309"/>
      <c r="R132" s="309"/>
      <c r="S132" s="309"/>
      <c r="T132" s="309"/>
      <c r="U132" s="309"/>
      <c r="V132" s="309"/>
      <c r="W132" s="309"/>
      <c r="X132" s="87"/>
      <c r="Y132" s="306"/>
      <c r="Z132" s="289"/>
      <c r="AA132" s="305"/>
      <c r="AB132" s="290"/>
      <c r="AC132" s="290"/>
      <c r="AD132" s="307"/>
      <c r="AE132" s="307"/>
      <c r="AF132" s="97"/>
      <c r="AG132" s="97"/>
      <c r="AH132" s="97"/>
      <c r="AI132" s="97"/>
      <c r="AJ132" s="97"/>
      <c r="AK132" s="97"/>
      <c r="AL132" s="97"/>
      <c r="AM132" s="97"/>
      <c r="AN132" s="97"/>
      <c r="AO132" s="97"/>
      <c r="AP132" s="97"/>
      <c r="AQ132" s="97"/>
      <c r="AR132" s="97"/>
      <c r="AS132" s="97"/>
      <c r="AT132" s="106"/>
      <c r="AU132" s="106"/>
      <c r="AV132" s="106"/>
      <c r="AW132" s="106"/>
      <c r="AX132" s="106"/>
      <c r="AY132" s="106"/>
      <c r="AZ132" s="106"/>
      <c r="BA132" s="106"/>
      <c r="BB132" s="106"/>
      <c r="BC132" s="106"/>
      <c r="BD132" s="106"/>
      <c r="BE132" s="106"/>
      <c r="BF132" s="106"/>
      <c r="BG132" s="106"/>
      <c r="BH132" s="106"/>
      <c r="BI132" s="106"/>
      <c r="BJ132" s="106"/>
      <c r="BK132" s="106"/>
      <c r="BL132" s="106"/>
      <c r="BM132" s="106"/>
      <c r="BN132" s="106"/>
      <c r="BO132" s="106"/>
      <c r="BP132" s="106"/>
      <c r="BQ132" s="106"/>
      <c r="BR132" s="106"/>
      <c r="BS132" s="106"/>
      <c r="BT132" s="106"/>
      <c r="BU132" s="106"/>
    </row>
    <row r="133" spans="1:73" s="72" customFormat="1" ht="35.25" customHeight="1" x14ac:dyDescent="0.2">
      <c r="A133" s="20"/>
      <c r="B133" s="298"/>
      <c r="C133" s="289"/>
      <c r="D133" s="290"/>
      <c r="E133" s="305"/>
      <c r="F133" s="309"/>
      <c r="G133" s="309"/>
      <c r="H133" s="309"/>
      <c r="I133" s="309"/>
      <c r="J133" s="309"/>
      <c r="K133" s="309"/>
      <c r="L133" s="309"/>
      <c r="M133" s="309"/>
      <c r="N133" s="309"/>
      <c r="O133" s="309"/>
      <c r="P133" s="309"/>
      <c r="Q133" s="309"/>
      <c r="R133" s="309"/>
      <c r="S133" s="309"/>
      <c r="T133" s="309"/>
      <c r="U133" s="309"/>
      <c r="V133" s="309"/>
      <c r="W133" s="309"/>
      <c r="X133" s="87"/>
      <c r="Y133" s="306"/>
      <c r="Z133" s="289"/>
      <c r="AA133" s="305"/>
      <c r="AB133" s="290"/>
      <c r="AC133" s="290"/>
      <c r="AD133" s="307"/>
      <c r="AE133" s="307"/>
      <c r="AF133" s="97"/>
      <c r="AG133" s="97"/>
      <c r="AH133" s="97"/>
      <c r="AI133" s="97"/>
      <c r="AJ133" s="97"/>
      <c r="AK133" s="97"/>
      <c r="AL133" s="97"/>
      <c r="AM133" s="97"/>
      <c r="AN133" s="97"/>
      <c r="AO133" s="97"/>
      <c r="AP133" s="97"/>
      <c r="AQ133" s="97"/>
      <c r="AR133" s="97"/>
      <c r="AS133" s="97"/>
      <c r="AT133" s="106"/>
      <c r="AU133" s="106"/>
      <c r="AV133" s="106"/>
      <c r="AW133" s="106"/>
      <c r="AX133" s="106"/>
      <c r="AY133" s="106"/>
      <c r="AZ133" s="106"/>
      <c r="BA133" s="106"/>
      <c r="BB133" s="106"/>
      <c r="BC133" s="106"/>
      <c r="BD133" s="106"/>
      <c r="BE133" s="106"/>
      <c r="BF133" s="106"/>
      <c r="BG133" s="106"/>
      <c r="BH133" s="106"/>
      <c r="BI133" s="106"/>
      <c r="BJ133" s="106"/>
      <c r="BK133" s="106"/>
      <c r="BL133" s="106"/>
      <c r="BM133" s="106"/>
      <c r="BN133" s="106"/>
      <c r="BO133" s="106"/>
      <c r="BP133" s="106"/>
      <c r="BQ133" s="106"/>
      <c r="BR133" s="106"/>
      <c r="BS133" s="106"/>
      <c r="BT133" s="106"/>
      <c r="BU133" s="106"/>
    </row>
    <row r="134" spans="1:73" s="72" customFormat="1" ht="35.25" customHeight="1" x14ac:dyDescent="0.2">
      <c r="A134" s="20"/>
      <c r="B134" s="298"/>
      <c r="C134" s="289"/>
      <c r="D134" s="290"/>
      <c r="E134" s="305"/>
      <c r="F134" s="309"/>
      <c r="G134" s="309"/>
      <c r="H134" s="309"/>
      <c r="I134" s="309"/>
      <c r="J134" s="309"/>
      <c r="K134" s="309"/>
      <c r="L134" s="309"/>
      <c r="M134" s="309"/>
      <c r="N134" s="309"/>
      <c r="O134" s="309"/>
      <c r="P134" s="309"/>
      <c r="Q134" s="309"/>
      <c r="R134" s="309"/>
      <c r="S134" s="309"/>
      <c r="T134" s="309"/>
      <c r="U134" s="309"/>
      <c r="V134" s="309"/>
      <c r="W134" s="309"/>
      <c r="X134" s="87"/>
      <c r="Y134" s="306"/>
      <c r="Z134" s="289"/>
      <c r="AA134" s="305"/>
      <c r="AB134" s="290"/>
      <c r="AC134" s="290"/>
      <c r="AD134" s="307"/>
      <c r="AE134" s="307"/>
      <c r="AF134" s="97"/>
      <c r="AG134" s="97"/>
      <c r="AH134" s="97"/>
      <c r="AI134" s="97"/>
      <c r="AJ134" s="97"/>
      <c r="AK134" s="97"/>
      <c r="AL134" s="97"/>
      <c r="AM134" s="97"/>
      <c r="AN134" s="97"/>
      <c r="AO134" s="97"/>
      <c r="AP134" s="97"/>
      <c r="AQ134" s="97"/>
      <c r="AR134" s="97"/>
      <c r="AS134" s="97"/>
      <c r="AT134" s="106"/>
      <c r="AU134" s="106"/>
      <c r="AV134" s="106"/>
      <c r="AW134" s="106"/>
      <c r="AX134" s="106"/>
      <c r="AY134" s="106"/>
      <c r="AZ134" s="106"/>
      <c r="BA134" s="106"/>
      <c r="BB134" s="106"/>
      <c r="BC134" s="106"/>
      <c r="BD134" s="106"/>
      <c r="BE134" s="106"/>
      <c r="BF134" s="106"/>
      <c r="BG134" s="106"/>
      <c r="BH134" s="106"/>
      <c r="BI134" s="106"/>
      <c r="BJ134" s="106"/>
      <c r="BK134" s="106"/>
      <c r="BL134" s="106"/>
      <c r="BM134" s="106"/>
      <c r="BN134" s="106"/>
      <c r="BO134" s="106"/>
      <c r="BP134" s="106"/>
      <c r="BQ134" s="106"/>
      <c r="BR134" s="106"/>
      <c r="BS134" s="106"/>
      <c r="BT134" s="106"/>
      <c r="BU134" s="106"/>
    </row>
    <row r="135" spans="1:73" s="72" customFormat="1" ht="35.25" customHeight="1" x14ac:dyDescent="0.2">
      <c r="A135" s="20"/>
      <c r="B135" s="298"/>
      <c r="C135" s="289"/>
      <c r="D135" s="290"/>
      <c r="E135" s="305"/>
      <c r="F135" s="309"/>
      <c r="G135" s="309"/>
      <c r="H135" s="309"/>
      <c r="I135" s="309"/>
      <c r="J135" s="309"/>
      <c r="K135" s="309"/>
      <c r="L135" s="309"/>
      <c r="M135" s="309"/>
      <c r="N135" s="309"/>
      <c r="O135" s="309"/>
      <c r="P135" s="309"/>
      <c r="Q135" s="309"/>
      <c r="R135" s="309"/>
      <c r="S135" s="309"/>
      <c r="T135" s="309"/>
      <c r="U135" s="309"/>
      <c r="V135" s="309"/>
      <c r="W135" s="309"/>
      <c r="X135" s="87"/>
      <c r="Y135" s="306"/>
      <c r="Z135" s="289"/>
      <c r="AA135" s="305"/>
      <c r="AB135" s="290"/>
      <c r="AC135" s="290"/>
      <c r="AD135" s="307"/>
      <c r="AE135" s="307"/>
      <c r="AF135" s="97"/>
      <c r="AG135" s="97"/>
      <c r="AH135" s="97"/>
      <c r="AI135" s="97"/>
      <c r="AJ135" s="97"/>
      <c r="AK135" s="97"/>
      <c r="AL135" s="97"/>
      <c r="AM135" s="97"/>
      <c r="AN135" s="97"/>
      <c r="AO135" s="97"/>
      <c r="AP135" s="97"/>
      <c r="AQ135" s="97"/>
      <c r="AR135" s="97"/>
      <c r="AS135" s="97"/>
      <c r="AT135" s="106"/>
      <c r="AU135" s="106"/>
      <c r="AV135" s="106"/>
      <c r="AW135" s="106"/>
      <c r="AX135" s="106"/>
      <c r="AY135" s="106"/>
      <c r="AZ135" s="106"/>
      <c r="BA135" s="106"/>
      <c r="BB135" s="106"/>
      <c r="BC135" s="106"/>
      <c r="BD135" s="106"/>
      <c r="BE135" s="106"/>
      <c r="BF135" s="106"/>
      <c r="BG135" s="106"/>
      <c r="BH135" s="106"/>
      <c r="BI135" s="106"/>
      <c r="BJ135" s="106"/>
      <c r="BK135" s="106"/>
      <c r="BL135" s="106"/>
      <c r="BM135" s="106"/>
      <c r="BN135" s="106"/>
      <c r="BO135" s="106"/>
      <c r="BP135" s="106"/>
      <c r="BQ135" s="106"/>
      <c r="BR135" s="106"/>
      <c r="BS135" s="106"/>
      <c r="BT135" s="106"/>
      <c r="BU135" s="106"/>
    </row>
    <row r="136" spans="1:73" s="72" customFormat="1" ht="35.25" customHeight="1" x14ac:dyDescent="0.2">
      <c r="A136" s="20"/>
      <c r="B136" s="298"/>
      <c r="C136" s="289"/>
      <c r="D136" s="290"/>
      <c r="E136" s="305"/>
      <c r="F136" s="309"/>
      <c r="G136" s="309"/>
      <c r="H136" s="309"/>
      <c r="I136" s="309"/>
      <c r="J136" s="309"/>
      <c r="K136" s="309"/>
      <c r="L136" s="309"/>
      <c r="M136" s="309"/>
      <c r="N136" s="309"/>
      <c r="O136" s="309"/>
      <c r="P136" s="309"/>
      <c r="Q136" s="309"/>
      <c r="R136" s="309"/>
      <c r="S136" s="309"/>
      <c r="T136" s="309"/>
      <c r="U136" s="309"/>
      <c r="V136" s="309"/>
      <c r="W136" s="309"/>
      <c r="X136" s="87"/>
      <c r="Y136" s="306"/>
      <c r="Z136" s="289"/>
      <c r="AA136" s="305"/>
      <c r="AB136" s="290"/>
      <c r="AC136" s="290"/>
      <c r="AD136" s="307"/>
      <c r="AE136" s="307"/>
      <c r="AF136" s="97"/>
      <c r="AG136" s="97"/>
      <c r="AH136" s="97"/>
      <c r="AI136" s="97"/>
      <c r="AJ136" s="97"/>
      <c r="AK136" s="97"/>
      <c r="AL136" s="97"/>
      <c r="AM136" s="97"/>
      <c r="AN136" s="97"/>
      <c r="AO136" s="97"/>
      <c r="AP136" s="97"/>
      <c r="AQ136" s="97"/>
      <c r="AR136" s="97"/>
      <c r="AS136" s="97"/>
      <c r="AT136" s="106"/>
      <c r="AU136" s="106"/>
      <c r="AV136" s="106"/>
      <c r="AW136" s="106"/>
      <c r="AX136" s="106"/>
      <c r="AY136" s="106"/>
      <c r="AZ136" s="106"/>
      <c r="BA136" s="106"/>
      <c r="BB136" s="106"/>
      <c r="BC136" s="106"/>
      <c r="BD136" s="106"/>
      <c r="BE136" s="106"/>
      <c r="BF136" s="106"/>
      <c r="BG136" s="106"/>
      <c r="BH136" s="106"/>
      <c r="BI136" s="106"/>
      <c r="BJ136" s="106"/>
      <c r="BK136" s="106"/>
      <c r="BL136" s="106"/>
      <c r="BM136" s="106"/>
      <c r="BN136" s="106"/>
      <c r="BO136" s="106"/>
      <c r="BP136" s="106"/>
      <c r="BQ136" s="106"/>
      <c r="BR136" s="106"/>
      <c r="BS136" s="106"/>
      <c r="BT136" s="106"/>
      <c r="BU136" s="106"/>
    </row>
    <row r="137" spans="1:73" s="72" customFormat="1" ht="35.25" customHeight="1" x14ac:dyDescent="0.2">
      <c r="A137" s="20"/>
      <c r="B137" s="298"/>
      <c r="C137" s="289"/>
      <c r="D137" s="290"/>
      <c r="E137" s="305"/>
      <c r="F137" s="309"/>
      <c r="G137" s="309"/>
      <c r="H137" s="309"/>
      <c r="I137" s="309"/>
      <c r="J137" s="309"/>
      <c r="K137" s="309"/>
      <c r="L137" s="309"/>
      <c r="M137" s="309"/>
      <c r="N137" s="309"/>
      <c r="O137" s="309"/>
      <c r="P137" s="309"/>
      <c r="Q137" s="309"/>
      <c r="R137" s="309"/>
      <c r="S137" s="309"/>
      <c r="T137" s="309"/>
      <c r="U137" s="309"/>
      <c r="V137" s="309"/>
      <c r="W137" s="309"/>
      <c r="X137" s="87"/>
      <c r="Y137" s="306"/>
      <c r="Z137" s="289"/>
      <c r="AA137" s="305"/>
      <c r="AB137" s="290"/>
      <c r="AC137" s="290"/>
      <c r="AD137" s="307"/>
      <c r="AE137" s="307"/>
      <c r="AF137" s="97"/>
      <c r="AG137" s="97"/>
      <c r="AH137" s="97"/>
      <c r="AI137" s="97"/>
      <c r="AJ137" s="97"/>
      <c r="AK137" s="97"/>
      <c r="AL137" s="97"/>
      <c r="AM137" s="97"/>
      <c r="AN137" s="97"/>
      <c r="AO137" s="97"/>
      <c r="AP137" s="97"/>
      <c r="AQ137" s="97"/>
      <c r="AR137" s="97"/>
      <c r="AS137" s="97"/>
      <c r="AT137" s="106"/>
      <c r="AU137" s="106"/>
      <c r="AV137" s="106"/>
      <c r="AW137" s="106"/>
      <c r="AX137" s="106"/>
      <c r="AY137" s="106"/>
      <c r="AZ137" s="106"/>
      <c r="BA137" s="106"/>
      <c r="BB137" s="106"/>
      <c r="BC137" s="106"/>
      <c r="BD137" s="106"/>
      <c r="BE137" s="106"/>
      <c r="BF137" s="106"/>
      <c r="BG137" s="106"/>
      <c r="BH137" s="106"/>
      <c r="BI137" s="106"/>
      <c r="BJ137" s="106"/>
      <c r="BK137" s="106"/>
      <c r="BL137" s="106"/>
      <c r="BM137" s="106"/>
      <c r="BN137" s="106"/>
      <c r="BO137" s="106"/>
      <c r="BP137" s="106"/>
      <c r="BQ137" s="106"/>
      <c r="BR137" s="106"/>
      <c r="BS137" s="106"/>
      <c r="BT137" s="106"/>
      <c r="BU137" s="106"/>
    </row>
    <row r="138" spans="1:73" s="72" customFormat="1" ht="35.25" customHeight="1" x14ac:dyDescent="0.2">
      <c r="A138" s="20"/>
      <c r="B138" s="298"/>
      <c r="C138" s="289"/>
      <c r="D138" s="290"/>
      <c r="E138" s="305"/>
      <c r="F138" s="309"/>
      <c r="G138" s="309"/>
      <c r="H138" s="309"/>
      <c r="I138" s="309"/>
      <c r="J138" s="309"/>
      <c r="K138" s="309"/>
      <c r="L138" s="309"/>
      <c r="M138" s="309"/>
      <c r="N138" s="309"/>
      <c r="O138" s="309"/>
      <c r="P138" s="309"/>
      <c r="Q138" s="309"/>
      <c r="R138" s="309"/>
      <c r="S138" s="309"/>
      <c r="T138" s="309"/>
      <c r="U138" s="309"/>
      <c r="V138" s="309"/>
      <c r="W138" s="309"/>
      <c r="X138" s="87"/>
      <c r="Y138" s="306"/>
      <c r="Z138" s="289"/>
      <c r="AA138" s="305"/>
      <c r="AB138" s="290"/>
      <c r="AC138" s="290"/>
      <c r="AD138" s="307"/>
      <c r="AE138" s="307"/>
      <c r="AF138" s="97"/>
      <c r="AG138" s="97"/>
      <c r="AH138" s="97"/>
      <c r="AI138" s="97"/>
      <c r="AJ138" s="97"/>
      <c r="AK138" s="97"/>
      <c r="AL138" s="97"/>
      <c r="AM138" s="97"/>
      <c r="AN138" s="97"/>
      <c r="AO138" s="97"/>
      <c r="AP138" s="97"/>
      <c r="AQ138" s="97"/>
      <c r="AR138" s="97"/>
      <c r="AS138" s="97"/>
      <c r="AT138" s="106"/>
      <c r="AU138" s="106"/>
      <c r="AV138" s="106"/>
      <c r="AW138" s="106"/>
      <c r="AX138" s="106"/>
      <c r="AY138" s="106"/>
      <c r="AZ138" s="106"/>
      <c r="BA138" s="106"/>
      <c r="BB138" s="106"/>
      <c r="BC138" s="106"/>
      <c r="BD138" s="106"/>
      <c r="BE138" s="106"/>
      <c r="BF138" s="106"/>
      <c r="BG138" s="106"/>
      <c r="BH138" s="106"/>
      <c r="BI138" s="106"/>
      <c r="BJ138" s="106"/>
      <c r="BK138" s="106"/>
      <c r="BL138" s="106"/>
      <c r="BM138" s="106"/>
      <c r="BN138" s="106"/>
      <c r="BO138" s="106"/>
      <c r="BP138" s="106"/>
      <c r="BQ138" s="106"/>
      <c r="BR138" s="106"/>
      <c r="BS138" s="106"/>
      <c r="BT138" s="106"/>
      <c r="BU138" s="106"/>
    </row>
    <row r="139" spans="1:73" s="72" customFormat="1" ht="35.25" customHeight="1" x14ac:dyDescent="0.2">
      <c r="A139" s="20"/>
      <c r="B139" s="298"/>
      <c r="C139" s="289"/>
      <c r="D139" s="290"/>
      <c r="E139" s="305"/>
      <c r="F139" s="309"/>
      <c r="G139" s="309"/>
      <c r="H139" s="309"/>
      <c r="I139" s="309"/>
      <c r="J139" s="309"/>
      <c r="K139" s="309"/>
      <c r="L139" s="309"/>
      <c r="M139" s="309"/>
      <c r="N139" s="309"/>
      <c r="O139" s="309"/>
      <c r="P139" s="309"/>
      <c r="Q139" s="309"/>
      <c r="R139" s="309"/>
      <c r="S139" s="309"/>
      <c r="T139" s="309"/>
      <c r="U139" s="309"/>
      <c r="V139" s="309"/>
      <c r="W139" s="309"/>
      <c r="X139" s="87"/>
      <c r="Y139" s="306"/>
      <c r="Z139" s="289"/>
      <c r="AA139" s="305"/>
      <c r="AB139" s="290"/>
      <c r="AC139" s="290"/>
      <c r="AD139" s="307"/>
      <c r="AE139" s="307"/>
      <c r="AF139" s="97"/>
      <c r="AG139" s="97"/>
      <c r="AH139" s="97"/>
      <c r="AI139" s="97"/>
      <c r="AJ139" s="97"/>
      <c r="AK139" s="97"/>
      <c r="AL139" s="97"/>
      <c r="AM139" s="97"/>
      <c r="AN139" s="97"/>
      <c r="AO139" s="97"/>
      <c r="AP139" s="97"/>
      <c r="AQ139" s="97"/>
      <c r="AR139" s="97"/>
      <c r="AS139" s="97"/>
      <c r="AT139" s="106"/>
      <c r="AU139" s="106"/>
      <c r="AV139" s="106"/>
      <c r="AW139" s="106"/>
      <c r="AX139" s="106"/>
      <c r="AY139" s="106"/>
      <c r="AZ139" s="106"/>
      <c r="BA139" s="106"/>
      <c r="BB139" s="106"/>
      <c r="BC139" s="106"/>
      <c r="BD139" s="106"/>
      <c r="BE139" s="106"/>
      <c r="BF139" s="106"/>
      <c r="BG139" s="106"/>
      <c r="BH139" s="106"/>
      <c r="BI139" s="106"/>
      <c r="BJ139" s="106"/>
      <c r="BK139" s="106"/>
      <c r="BL139" s="106"/>
      <c r="BM139" s="106"/>
      <c r="BN139" s="106"/>
      <c r="BO139" s="106"/>
      <c r="BP139" s="106"/>
      <c r="BQ139" s="106"/>
      <c r="BR139" s="106"/>
      <c r="BS139" s="106"/>
      <c r="BT139" s="106"/>
      <c r="BU139" s="106"/>
    </row>
    <row r="140" spans="1:73" s="72" customFormat="1" ht="35.25" customHeight="1" x14ac:dyDescent="0.2">
      <c r="A140" s="20"/>
      <c r="B140" s="298"/>
      <c r="C140" s="289"/>
      <c r="D140" s="290"/>
      <c r="E140" s="305"/>
      <c r="F140" s="309"/>
      <c r="G140" s="309"/>
      <c r="H140" s="309"/>
      <c r="I140" s="309"/>
      <c r="J140" s="309"/>
      <c r="K140" s="309"/>
      <c r="L140" s="309"/>
      <c r="M140" s="309"/>
      <c r="N140" s="309"/>
      <c r="O140" s="309"/>
      <c r="P140" s="309"/>
      <c r="Q140" s="309"/>
      <c r="R140" s="309"/>
      <c r="S140" s="309"/>
      <c r="T140" s="309"/>
      <c r="U140" s="309"/>
      <c r="V140" s="309"/>
      <c r="W140" s="309"/>
      <c r="X140" s="87"/>
      <c r="Y140" s="306"/>
      <c r="Z140" s="289"/>
      <c r="AA140" s="305"/>
      <c r="AB140" s="290"/>
      <c r="AC140" s="290"/>
      <c r="AD140" s="307"/>
      <c r="AE140" s="307"/>
      <c r="AF140" s="97"/>
      <c r="AG140" s="97"/>
      <c r="AH140" s="97"/>
      <c r="AI140" s="97"/>
      <c r="AJ140" s="97"/>
      <c r="AK140" s="97"/>
      <c r="AL140" s="97"/>
      <c r="AM140" s="97"/>
      <c r="AN140" s="97"/>
      <c r="AO140" s="97"/>
      <c r="AP140" s="97"/>
      <c r="AQ140" s="97"/>
      <c r="AR140" s="97"/>
      <c r="AS140" s="97"/>
      <c r="AT140" s="106"/>
      <c r="AU140" s="106"/>
      <c r="AV140" s="106"/>
      <c r="AW140" s="106"/>
      <c r="AX140" s="106"/>
      <c r="AY140" s="106"/>
      <c r="AZ140" s="106"/>
      <c r="BA140" s="106"/>
      <c r="BB140" s="106"/>
      <c r="BC140" s="106"/>
      <c r="BD140" s="106"/>
      <c r="BE140" s="106"/>
      <c r="BF140" s="106"/>
      <c r="BG140" s="106"/>
      <c r="BH140" s="106"/>
      <c r="BI140" s="106"/>
      <c r="BJ140" s="106"/>
      <c r="BK140" s="106"/>
      <c r="BL140" s="106"/>
      <c r="BM140" s="106"/>
      <c r="BN140" s="106"/>
      <c r="BO140" s="106"/>
      <c r="BP140" s="106"/>
      <c r="BQ140" s="106"/>
      <c r="BR140" s="106"/>
      <c r="BS140" s="106"/>
      <c r="BT140" s="106"/>
      <c r="BU140" s="106"/>
    </row>
    <row r="141" spans="1:73" s="72" customFormat="1" ht="35.25" customHeight="1" x14ac:dyDescent="0.15">
      <c r="B141" s="298"/>
      <c r="C141" s="289"/>
      <c r="D141" s="290"/>
      <c r="E141" s="305"/>
      <c r="F141" s="309"/>
      <c r="G141" s="309"/>
      <c r="H141" s="309"/>
      <c r="I141" s="309"/>
      <c r="J141" s="309"/>
      <c r="K141" s="309"/>
      <c r="L141" s="309"/>
      <c r="M141" s="309"/>
      <c r="N141" s="309"/>
      <c r="O141" s="309"/>
      <c r="P141" s="309"/>
      <c r="Q141" s="309"/>
      <c r="R141" s="309"/>
      <c r="S141" s="309"/>
      <c r="T141" s="309"/>
      <c r="U141" s="309"/>
      <c r="V141" s="309"/>
      <c r="W141" s="309"/>
      <c r="X141" s="87"/>
      <c r="Y141" s="306"/>
      <c r="Z141" s="289"/>
      <c r="AA141" s="305"/>
      <c r="AB141" s="290"/>
      <c r="AC141" s="290"/>
      <c r="AD141" s="307"/>
      <c r="AE141" s="307"/>
      <c r="AF141" s="97"/>
      <c r="AG141" s="97"/>
      <c r="AH141" s="97"/>
      <c r="AI141" s="97"/>
      <c r="AJ141" s="97"/>
      <c r="AK141" s="97"/>
      <c r="AL141" s="97"/>
      <c r="AM141" s="97"/>
      <c r="AN141" s="97"/>
      <c r="AO141" s="97"/>
      <c r="AP141" s="97"/>
      <c r="AQ141" s="97"/>
      <c r="AR141" s="97"/>
      <c r="AS141" s="97"/>
      <c r="AT141" s="106"/>
      <c r="AU141" s="106"/>
      <c r="AV141" s="106"/>
      <c r="AW141" s="106"/>
      <c r="AX141" s="106"/>
      <c r="AY141" s="106"/>
      <c r="AZ141" s="106"/>
      <c r="BA141" s="106"/>
      <c r="BB141" s="106"/>
      <c r="BC141" s="106"/>
      <c r="BD141" s="106"/>
      <c r="BE141" s="106"/>
      <c r="BF141" s="106"/>
      <c r="BG141" s="106"/>
      <c r="BH141" s="106"/>
      <c r="BI141" s="106"/>
      <c r="BJ141" s="106"/>
      <c r="BK141" s="106"/>
      <c r="BL141" s="106"/>
      <c r="BM141" s="106"/>
      <c r="BN141" s="106"/>
      <c r="BO141" s="106"/>
      <c r="BP141" s="106"/>
      <c r="BQ141" s="106"/>
      <c r="BR141" s="106"/>
      <c r="BS141" s="106"/>
      <c r="BT141" s="106"/>
      <c r="BU141" s="106"/>
    </row>
    <row r="142" spans="1:73" s="72" customFormat="1" ht="35.25" customHeight="1" x14ac:dyDescent="0.15">
      <c r="B142" s="298"/>
      <c r="C142" s="289"/>
      <c r="D142" s="290"/>
      <c r="E142" s="305"/>
      <c r="F142" s="309"/>
      <c r="G142" s="309"/>
      <c r="H142" s="309"/>
      <c r="I142" s="309"/>
      <c r="J142" s="309"/>
      <c r="K142" s="309"/>
      <c r="L142" s="309"/>
      <c r="M142" s="309"/>
      <c r="N142" s="309"/>
      <c r="O142" s="309"/>
      <c r="P142" s="309"/>
      <c r="Q142" s="309"/>
      <c r="R142" s="309"/>
      <c r="S142" s="309"/>
      <c r="T142" s="309"/>
      <c r="U142" s="309"/>
      <c r="V142" s="309"/>
      <c r="W142" s="309"/>
      <c r="X142" s="87"/>
      <c r="Y142" s="306"/>
      <c r="Z142" s="289"/>
      <c r="AA142" s="305"/>
      <c r="AB142" s="290"/>
      <c r="AC142" s="290"/>
      <c r="AD142" s="307"/>
      <c r="AE142" s="307"/>
      <c r="AF142" s="97"/>
      <c r="AG142" s="97"/>
      <c r="AH142" s="97"/>
      <c r="AI142" s="97"/>
      <c r="AJ142" s="97"/>
      <c r="AK142" s="97"/>
      <c r="AL142" s="97"/>
      <c r="AM142" s="97"/>
      <c r="AN142" s="97"/>
      <c r="AO142" s="97"/>
      <c r="AP142" s="97"/>
      <c r="AQ142" s="97"/>
      <c r="AR142" s="97"/>
      <c r="AS142" s="97"/>
      <c r="AT142" s="106"/>
      <c r="AU142" s="106"/>
      <c r="AV142" s="106"/>
      <c r="AW142" s="106"/>
      <c r="AX142" s="106"/>
      <c r="AY142" s="106"/>
      <c r="AZ142" s="106"/>
      <c r="BA142" s="106"/>
      <c r="BB142" s="106"/>
      <c r="BC142" s="106"/>
      <c r="BD142" s="106"/>
      <c r="BE142" s="106"/>
      <c r="BF142" s="106"/>
      <c r="BG142" s="106"/>
      <c r="BH142" s="106"/>
      <c r="BI142" s="106"/>
      <c r="BJ142" s="106"/>
      <c r="BK142" s="106"/>
      <c r="BL142" s="106"/>
      <c r="BM142" s="106"/>
      <c r="BN142" s="106"/>
      <c r="BO142" s="106"/>
      <c r="BP142" s="106"/>
      <c r="BQ142" s="106"/>
      <c r="BR142" s="106"/>
      <c r="BS142" s="106"/>
      <c r="BT142" s="106"/>
      <c r="BU142" s="106"/>
    </row>
    <row r="143" spans="1:73" s="72" customFormat="1" x14ac:dyDescent="0.15">
      <c r="B143" s="298"/>
      <c r="C143" s="289"/>
      <c r="D143" s="290"/>
      <c r="E143" s="305"/>
      <c r="F143" s="309"/>
      <c r="G143" s="309"/>
      <c r="H143" s="309"/>
      <c r="I143" s="309"/>
      <c r="J143" s="309"/>
      <c r="K143" s="309"/>
      <c r="L143" s="309"/>
      <c r="M143" s="309"/>
      <c r="N143" s="309"/>
      <c r="O143" s="309"/>
      <c r="P143" s="309"/>
      <c r="Q143" s="309"/>
      <c r="R143" s="309"/>
      <c r="S143" s="309"/>
      <c r="T143" s="309"/>
      <c r="U143" s="309"/>
      <c r="V143" s="309"/>
      <c r="W143" s="309"/>
      <c r="X143" s="87"/>
      <c r="Y143" s="306"/>
      <c r="Z143" s="289"/>
      <c r="AA143" s="305"/>
      <c r="AB143" s="290"/>
      <c r="AC143" s="290"/>
      <c r="AD143" s="307"/>
      <c r="AE143" s="106"/>
      <c r="AF143" s="97"/>
      <c r="AG143" s="97"/>
      <c r="AH143" s="97"/>
      <c r="AI143" s="97"/>
      <c r="AJ143" s="97"/>
      <c r="AK143" s="97"/>
      <c r="AL143" s="97"/>
      <c r="AM143" s="97"/>
      <c r="AN143" s="97"/>
      <c r="AO143" s="97"/>
      <c r="AP143" s="97"/>
      <c r="AQ143" s="97"/>
      <c r="AR143" s="97"/>
      <c r="AS143" s="97"/>
      <c r="AT143" s="106"/>
      <c r="AU143" s="106"/>
      <c r="AV143" s="106"/>
      <c r="AW143" s="106"/>
      <c r="AX143" s="106"/>
      <c r="AY143" s="106"/>
      <c r="AZ143" s="106"/>
      <c r="BA143" s="106"/>
      <c r="BB143" s="106"/>
      <c r="BC143" s="106"/>
      <c r="BD143" s="106"/>
      <c r="BE143" s="106"/>
      <c r="BF143" s="106"/>
      <c r="BG143" s="106"/>
      <c r="BH143" s="106"/>
      <c r="BI143" s="106"/>
      <c r="BJ143" s="106"/>
      <c r="BK143" s="106"/>
      <c r="BL143" s="106"/>
      <c r="BM143" s="106"/>
      <c r="BN143" s="106"/>
      <c r="BO143" s="106"/>
      <c r="BP143" s="106"/>
      <c r="BQ143" s="106"/>
      <c r="BR143" s="106"/>
      <c r="BS143" s="106"/>
      <c r="BT143" s="106"/>
      <c r="BU143" s="106"/>
    </row>
    <row r="144" spans="1:73" x14ac:dyDescent="0.2">
      <c r="B144" s="103"/>
      <c r="C144" s="97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87"/>
      <c r="Y144" s="95"/>
      <c r="Z144" s="95"/>
      <c r="AA144" s="95"/>
      <c r="AB144" s="95"/>
      <c r="AC144" s="95"/>
      <c r="AD144" s="95"/>
      <c r="AE144" s="95"/>
      <c r="AF144" s="95"/>
      <c r="AG144" s="95"/>
      <c r="AH144" s="95"/>
      <c r="AI144" s="95"/>
      <c r="AJ144" s="95"/>
      <c r="AK144" s="95"/>
      <c r="AL144" s="95"/>
      <c r="AM144" s="95"/>
      <c r="AN144" s="95"/>
      <c r="AO144" s="95"/>
      <c r="AP144" s="285"/>
      <c r="AQ144" s="285"/>
      <c r="AR144" s="285"/>
      <c r="AS144" s="95"/>
      <c r="AT144" s="95"/>
      <c r="AU144" s="95"/>
      <c r="AV144" s="95"/>
      <c r="AW144" s="95"/>
      <c r="AX144" s="95"/>
      <c r="AY144" s="95"/>
      <c r="AZ144" s="95"/>
      <c r="BA144" s="95"/>
      <c r="BB144" s="95"/>
      <c r="BC144" s="95"/>
      <c r="BD144" s="95"/>
      <c r="BE144" s="285"/>
      <c r="BF144" s="285"/>
      <c r="BG144" s="285"/>
      <c r="BH144" s="95"/>
      <c r="BI144" s="95"/>
      <c r="BJ144" s="95"/>
      <c r="BK144" s="95"/>
      <c r="BL144" s="95"/>
      <c r="BM144" s="95"/>
      <c r="BN144" s="95"/>
      <c r="BO144" s="95"/>
      <c r="BP144" s="95"/>
      <c r="BQ144" s="95"/>
      <c r="BR144" s="95"/>
      <c r="BS144" s="285"/>
      <c r="BT144" s="285"/>
      <c r="BU144" s="285"/>
    </row>
    <row r="145" spans="2:73" x14ac:dyDescent="0.2">
      <c r="B145" s="103"/>
      <c r="C145" s="97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95"/>
      <c r="Z145" s="95"/>
      <c r="AA145" s="95"/>
      <c r="AB145" s="95"/>
      <c r="AC145" s="95"/>
      <c r="AD145" s="95"/>
      <c r="AE145" s="95"/>
      <c r="AF145" s="95"/>
      <c r="AG145" s="95"/>
      <c r="AH145" s="95"/>
      <c r="AI145" s="95"/>
      <c r="AJ145" s="95"/>
      <c r="AK145" s="95"/>
      <c r="AL145" s="95"/>
      <c r="AM145" s="95"/>
      <c r="AN145" s="95"/>
      <c r="AO145" s="95"/>
      <c r="AP145" s="301"/>
      <c r="AQ145" s="301"/>
      <c r="AR145" s="301"/>
      <c r="AS145" s="95"/>
      <c r="AT145" s="95"/>
      <c r="AU145" s="95"/>
      <c r="AV145" s="95"/>
      <c r="AW145" s="95"/>
      <c r="AX145" s="95"/>
      <c r="AY145" s="95"/>
      <c r="AZ145" s="95"/>
      <c r="BA145" s="95"/>
      <c r="BB145" s="95"/>
      <c r="BC145" s="95"/>
      <c r="BD145" s="95"/>
      <c r="BE145" s="301"/>
      <c r="BF145" s="301"/>
      <c r="BG145" s="301"/>
      <c r="BH145" s="95"/>
      <c r="BI145" s="95"/>
      <c r="BJ145" s="95"/>
      <c r="BK145" s="95"/>
      <c r="BL145" s="95"/>
      <c r="BM145" s="95"/>
      <c r="BN145" s="95"/>
      <c r="BO145" s="95"/>
      <c r="BP145" s="95"/>
      <c r="BQ145" s="95"/>
      <c r="BR145" s="95"/>
      <c r="BS145" s="301"/>
      <c r="BT145" s="301"/>
      <c r="BU145" s="301"/>
    </row>
    <row r="148" spans="2:73" x14ac:dyDescent="0.2">
      <c r="B148" s="20"/>
      <c r="C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</row>
    <row r="149" spans="2:73" x14ac:dyDescent="0.2">
      <c r="B149" s="20"/>
      <c r="C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</row>
    <row r="150" spans="2:73" x14ac:dyDescent="0.2">
      <c r="B150" s="20"/>
      <c r="C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</row>
    <row r="151" spans="2:73" x14ac:dyDescent="0.2">
      <c r="B151" s="20"/>
      <c r="C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</row>
    <row r="152" spans="2:73" x14ac:dyDescent="0.2">
      <c r="B152" s="20"/>
      <c r="C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</row>
    <row r="153" spans="2:73" x14ac:dyDescent="0.2">
      <c r="B153" s="20"/>
      <c r="C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</row>
    <row r="154" spans="2:73" x14ac:dyDescent="0.2">
      <c r="B154" s="20"/>
      <c r="C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</row>
    <row r="155" spans="2:73" x14ac:dyDescent="0.2">
      <c r="B155" s="20"/>
      <c r="C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</row>
    <row r="156" spans="2:73" x14ac:dyDescent="0.2">
      <c r="B156" s="20"/>
      <c r="C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</row>
    <row r="157" spans="2:73" x14ac:dyDescent="0.2">
      <c r="B157" s="20"/>
      <c r="C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</row>
    <row r="158" spans="2:73" x14ac:dyDescent="0.2">
      <c r="B158" s="20"/>
      <c r="C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</row>
    <row r="159" spans="2:73" x14ac:dyDescent="0.2">
      <c r="B159" s="20"/>
      <c r="C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</row>
    <row r="160" spans="2:73" x14ac:dyDescent="0.2">
      <c r="B160" s="20"/>
      <c r="C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</row>
    <row r="161" spans="52:73" s="20" customFormat="1" x14ac:dyDescent="0.2">
      <c r="AZ161" s="94"/>
      <c r="BA161" s="94"/>
      <c r="BB161" s="94"/>
      <c r="BC161" s="94"/>
      <c r="BD161" s="94"/>
      <c r="BE161" s="94"/>
      <c r="BF161" s="94"/>
      <c r="BG161" s="94"/>
      <c r="BH161" s="94"/>
      <c r="BI161" s="94"/>
      <c r="BJ161" s="94"/>
      <c r="BK161" s="94"/>
      <c r="BL161" s="94"/>
      <c r="BM161" s="94"/>
      <c r="BN161" s="94"/>
      <c r="BO161" s="94"/>
      <c r="BP161" s="94"/>
      <c r="BQ161" s="94"/>
      <c r="BR161" s="94"/>
      <c r="BS161" s="94"/>
      <c r="BT161" s="94"/>
      <c r="BU161" s="94"/>
    </row>
    <row r="162" spans="52:73" s="20" customFormat="1" x14ac:dyDescent="0.2">
      <c r="AZ162" s="94"/>
      <c r="BA162" s="94"/>
      <c r="BB162" s="94"/>
      <c r="BC162" s="94"/>
      <c r="BD162" s="94"/>
      <c r="BE162" s="94"/>
      <c r="BF162" s="94"/>
      <c r="BG162" s="94"/>
      <c r="BH162" s="94"/>
      <c r="BI162" s="94"/>
      <c r="BJ162" s="94"/>
      <c r="BK162" s="94"/>
      <c r="BL162" s="94"/>
      <c r="BM162" s="94"/>
      <c r="BN162" s="94"/>
      <c r="BO162" s="94"/>
      <c r="BP162" s="94"/>
      <c r="BQ162" s="94"/>
      <c r="BR162" s="94"/>
      <c r="BS162" s="94"/>
      <c r="BT162" s="94"/>
      <c r="BU162" s="94"/>
    </row>
    <row r="163" spans="52:73" s="20" customFormat="1" x14ac:dyDescent="0.2">
      <c r="AZ163" s="94"/>
      <c r="BA163" s="94"/>
      <c r="BB163" s="94"/>
      <c r="BC163" s="94"/>
      <c r="BD163" s="94"/>
      <c r="BE163" s="94"/>
      <c r="BF163" s="94"/>
      <c r="BG163" s="94"/>
      <c r="BH163" s="94"/>
      <c r="BI163" s="94"/>
      <c r="BJ163" s="94"/>
      <c r="BK163" s="94"/>
      <c r="BL163" s="94"/>
      <c r="BM163" s="94"/>
      <c r="BN163" s="94"/>
      <c r="BO163" s="94"/>
      <c r="BP163" s="94"/>
      <c r="BQ163" s="94"/>
      <c r="BR163" s="94"/>
      <c r="BS163" s="94"/>
      <c r="BT163" s="94"/>
      <c r="BU163" s="94"/>
    </row>
    <row r="164" spans="52:73" s="20" customFormat="1" x14ac:dyDescent="0.2">
      <c r="AZ164" s="94"/>
      <c r="BA164" s="94"/>
      <c r="BB164" s="94"/>
      <c r="BC164" s="94"/>
      <c r="BD164" s="94"/>
      <c r="BE164" s="94"/>
      <c r="BF164" s="94"/>
      <c r="BG164" s="94"/>
      <c r="BH164" s="94"/>
      <c r="BI164" s="94"/>
      <c r="BJ164" s="94"/>
      <c r="BK164" s="94"/>
      <c r="BL164" s="94"/>
      <c r="BM164" s="94"/>
      <c r="BN164" s="94"/>
      <c r="BO164" s="94"/>
      <c r="BP164" s="94"/>
      <c r="BQ164" s="94"/>
      <c r="BR164" s="94"/>
      <c r="BS164" s="94"/>
      <c r="BT164" s="94"/>
      <c r="BU164" s="94"/>
    </row>
    <row r="165" spans="52:73" s="20" customFormat="1" x14ac:dyDescent="0.2">
      <c r="AZ165" s="94"/>
      <c r="BA165" s="94"/>
      <c r="BB165" s="94"/>
      <c r="BC165" s="94"/>
      <c r="BD165" s="94"/>
      <c r="BE165" s="94"/>
      <c r="BF165" s="94"/>
      <c r="BG165" s="94"/>
      <c r="BH165" s="94"/>
      <c r="BI165" s="94"/>
      <c r="BJ165" s="94"/>
      <c r="BK165" s="94"/>
      <c r="BL165" s="94"/>
      <c r="BM165" s="94"/>
      <c r="BN165" s="94"/>
      <c r="BO165" s="94"/>
      <c r="BP165" s="94"/>
      <c r="BQ165" s="94"/>
      <c r="BR165" s="94"/>
      <c r="BS165" s="94"/>
      <c r="BT165" s="94"/>
      <c r="BU165" s="94"/>
    </row>
    <row r="166" spans="52:73" s="20" customFormat="1" x14ac:dyDescent="0.2">
      <c r="AZ166" s="94"/>
      <c r="BA166" s="94"/>
      <c r="BB166" s="94"/>
      <c r="BC166" s="94"/>
      <c r="BD166" s="94"/>
      <c r="BE166" s="94"/>
      <c r="BF166" s="94"/>
      <c r="BG166" s="94"/>
      <c r="BH166" s="94"/>
      <c r="BI166" s="94"/>
      <c r="BJ166" s="94"/>
      <c r="BK166" s="94"/>
      <c r="BL166" s="94"/>
      <c r="BM166" s="94"/>
      <c r="BN166" s="94"/>
      <c r="BO166" s="94"/>
      <c r="BP166" s="94"/>
      <c r="BQ166" s="94"/>
      <c r="BR166" s="94"/>
      <c r="BS166" s="94"/>
      <c r="BT166" s="94"/>
      <c r="BU166" s="94"/>
    </row>
    <row r="167" spans="52:73" s="20" customFormat="1" x14ac:dyDescent="0.2">
      <c r="AZ167" s="94"/>
      <c r="BA167" s="94"/>
      <c r="BB167" s="94"/>
      <c r="BC167" s="94"/>
      <c r="BD167" s="94"/>
      <c r="BE167" s="94"/>
      <c r="BF167" s="94"/>
      <c r="BG167" s="94"/>
      <c r="BH167" s="94"/>
      <c r="BI167" s="94"/>
      <c r="BJ167" s="94"/>
      <c r="BK167" s="94"/>
      <c r="BL167" s="94"/>
      <c r="BM167" s="94"/>
      <c r="BN167" s="94"/>
      <c r="BO167" s="94"/>
      <c r="BP167" s="94"/>
      <c r="BQ167" s="94"/>
      <c r="BR167" s="94"/>
      <c r="BS167" s="94"/>
      <c r="BT167" s="94"/>
      <c r="BU167" s="94"/>
    </row>
    <row r="168" spans="52:73" s="20" customFormat="1" x14ac:dyDescent="0.2">
      <c r="AZ168" s="94"/>
      <c r="BA168" s="94"/>
      <c r="BB168" s="94"/>
      <c r="BC168" s="94"/>
      <c r="BD168" s="94"/>
      <c r="BE168" s="94"/>
      <c r="BF168" s="94"/>
      <c r="BG168" s="94"/>
      <c r="BH168" s="94"/>
      <c r="BI168" s="94"/>
      <c r="BJ168" s="94"/>
      <c r="BK168" s="94"/>
      <c r="BL168" s="94"/>
      <c r="BM168" s="94"/>
      <c r="BN168" s="94"/>
      <c r="BO168" s="94"/>
      <c r="BP168" s="94"/>
      <c r="BQ168" s="94"/>
      <c r="BR168" s="94"/>
      <c r="BS168" s="94"/>
      <c r="BT168" s="94"/>
      <c r="BU168" s="94"/>
    </row>
    <row r="169" spans="52:73" s="20" customFormat="1" x14ac:dyDescent="0.2">
      <c r="AZ169" s="94"/>
      <c r="BA169" s="94"/>
      <c r="BB169" s="94"/>
      <c r="BC169" s="94"/>
      <c r="BD169" s="94"/>
      <c r="BE169" s="94"/>
      <c r="BF169" s="94"/>
      <c r="BG169" s="94"/>
      <c r="BH169" s="94"/>
      <c r="BI169" s="94"/>
      <c r="BJ169" s="94"/>
      <c r="BK169" s="94"/>
      <c r="BL169" s="94"/>
      <c r="BM169" s="94"/>
      <c r="BN169" s="94"/>
      <c r="BO169" s="94"/>
      <c r="BP169" s="94"/>
      <c r="BQ169" s="94"/>
      <c r="BR169" s="94"/>
      <c r="BS169" s="94"/>
      <c r="BT169" s="94"/>
      <c r="BU169" s="94"/>
    </row>
    <row r="170" spans="52:73" s="20" customFormat="1" x14ac:dyDescent="0.2">
      <c r="AZ170" s="94"/>
      <c r="BA170" s="94"/>
      <c r="BB170" s="94"/>
      <c r="BC170" s="94"/>
      <c r="BD170" s="94"/>
      <c r="BE170" s="94"/>
      <c r="BF170" s="94"/>
      <c r="BG170" s="94"/>
      <c r="BH170" s="94"/>
      <c r="BI170" s="94"/>
      <c r="BJ170" s="94"/>
      <c r="BK170" s="94"/>
      <c r="BL170" s="94"/>
      <c r="BM170" s="94"/>
      <c r="BN170" s="94"/>
      <c r="BO170" s="94"/>
      <c r="BP170" s="94"/>
      <c r="BQ170" s="94"/>
      <c r="BR170" s="94"/>
      <c r="BS170" s="94"/>
      <c r="BT170" s="94"/>
      <c r="BU170" s="94"/>
    </row>
    <row r="171" spans="52:73" s="20" customFormat="1" x14ac:dyDescent="0.2">
      <c r="AZ171" s="94"/>
      <c r="BA171" s="94"/>
      <c r="BB171" s="94"/>
      <c r="BC171" s="94"/>
      <c r="BD171" s="94"/>
      <c r="BE171" s="94"/>
      <c r="BF171" s="94"/>
      <c r="BG171" s="94"/>
      <c r="BH171" s="94"/>
      <c r="BI171" s="94"/>
      <c r="BJ171" s="94"/>
      <c r="BK171" s="94"/>
      <c r="BL171" s="94"/>
      <c r="BM171" s="94"/>
      <c r="BN171" s="94"/>
      <c r="BO171" s="94"/>
      <c r="BP171" s="94"/>
      <c r="BQ171" s="94"/>
      <c r="BR171" s="94"/>
      <c r="BS171" s="94"/>
      <c r="BT171" s="94"/>
      <c r="BU171" s="94"/>
    </row>
    <row r="172" spans="52:73" s="20" customFormat="1" x14ac:dyDescent="0.2">
      <c r="AZ172" s="94"/>
      <c r="BA172" s="94"/>
      <c r="BB172" s="94"/>
      <c r="BC172" s="94"/>
      <c r="BD172" s="94"/>
      <c r="BE172" s="94"/>
      <c r="BF172" s="94"/>
      <c r="BG172" s="94"/>
      <c r="BH172" s="94"/>
      <c r="BI172" s="94"/>
      <c r="BJ172" s="94"/>
      <c r="BK172" s="94"/>
      <c r="BL172" s="94"/>
      <c r="BM172" s="94"/>
      <c r="BN172" s="94"/>
      <c r="BO172" s="94"/>
      <c r="BP172" s="94"/>
      <c r="BQ172" s="94"/>
      <c r="BR172" s="94"/>
      <c r="BS172" s="94"/>
      <c r="BT172" s="94"/>
      <c r="BU172" s="94"/>
    </row>
    <row r="173" spans="52:73" s="20" customFormat="1" x14ac:dyDescent="0.2">
      <c r="AZ173" s="94"/>
      <c r="BA173" s="94"/>
      <c r="BB173" s="94"/>
      <c r="BC173" s="94"/>
      <c r="BD173" s="94"/>
      <c r="BE173" s="94"/>
      <c r="BF173" s="94"/>
      <c r="BG173" s="94"/>
      <c r="BH173" s="94"/>
      <c r="BI173" s="94"/>
      <c r="BJ173" s="94"/>
      <c r="BK173" s="94"/>
      <c r="BL173" s="94"/>
      <c r="BM173" s="94"/>
      <c r="BN173" s="94"/>
      <c r="BO173" s="94"/>
      <c r="BP173" s="94"/>
      <c r="BQ173" s="94"/>
      <c r="BR173" s="94"/>
      <c r="BS173" s="94"/>
      <c r="BT173" s="94"/>
      <c r="BU173" s="94"/>
    </row>
    <row r="174" spans="52:73" s="20" customFormat="1" x14ac:dyDescent="0.2">
      <c r="AZ174" s="94"/>
      <c r="BA174" s="94"/>
      <c r="BB174" s="94"/>
      <c r="BC174" s="94"/>
      <c r="BD174" s="94"/>
      <c r="BE174" s="94"/>
      <c r="BF174" s="94"/>
      <c r="BG174" s="94"/>
      <c r="BH174" s="94"/>
      <c r="BI174" s="94"/>
      <c r="BJ174" s="94"/>
      <c r="BK174" s="94"/>
      <c r="BL174" s="94"/>
      <c r="BM174" s="94"/>
      <c r="BN174" s="94"/>
      <c r="BO174" s="94"/>
      <c r="BP174" s="94"/>
      <c r="BQ174" s="94"/>
      <c r="BR174" s="94"/>
      <c r="BS174" s="94"/>
      <c r="BT174" s="94"/>
      <c r="BU174" s="94"/>
    </row>
    <row r="175" spans="52:73" s="20" customFormat="1" x14ac:dyDescent="0.2">
      <c r="AZ175" s="94"/>
      <c r="BA175" s="94"/>
      <c r="BB175" s="94"/>
      <c r="BC175" s="94"/>
      <c r="BD175" s="94"/>
      <c r="BE175" s="94"/>
      <c r="BF175" s="94"/>
      <c r="BG175" s="94"/>
      <c r="BH175" s="94"/>
      <c r="BI175" s="94"/>
      <c r="BJ175" s="94"/>
      <c r="BK175" s="94"/>
      <c r="BL175" s="94"/>
      <c r="BM175" s="94"/>
      <c r="BN175" s="94"/>
      <c r="BO175" s="94"/>
      <c r="BP175" s="94"/>
      <c r="BQ175" s="94"/>
      <c r="BR175" s="94"/>
      <c r="BS175" s="94"/>
      <c r="BT175" s="94"/>
      <c r="BU175" s="94"/>
    </row>
    <row r="176" spans="52:73" s="20" customFormat="1" x14ac:dyDescent="0.2">
      <c r="AZ176" s="94"/>
      <c r="BA176" s="94"/>
      <c r="BB176" s="94"/>
      <c r="BC176" s="94"/>
      <c r="BD176" s="94"/>
      <c r="BE176" s="94"/>
      <c r="BF176" s="94"/>
      <c r="BG176" s="94"/>
      <c r="BH176" s="94"/>
      <c r="BI176" s="94"/>
      <c r="BJ176" s="94"/>
      <c r="BK176" s="94"/>
      <c r="BL176" s="94"/>
      <c r="BM176" s="94"/>
      <c r="BN176" s="94"/>
      <c r="BO176" s="94"/>
      <c r="BP176" s="94"/>
      <c r="BQ176" s="94"/>
      <c r="BR176" s="94"/>
      <c r="BS176" s="94"/>
      <c r="BT176" s="94"/>
      <c r="BU176" s="94"/>
    </row>
    <row r="177" spans="52:73" s="20" customFormat="1" x14ac:dyDescent="0.2">
      <c r="AZ177" s="94"/>
      <c r="BA177" s="94"/>
      <c r="BB177" s="94"/>
      <c r="BC177" s="94"/>
      <c r="BD177" s="94"/>
      <c r="BE177" s="94"/>
      <c r="BF177" s="94"/>
      <c r="BG177" s="94"/>
      <c r="BH177" s="94"/>
      <c r="BI177" s="94"/>
      <c r="BJ177" s="94"/>
      <c r="BK177" s="94"/>
      <c r="BL177" s="94"/>
      <c r="BM177" s="94"/>
      <c r="BN177" s="94"/>
      <c r="BO177" s="94"/>
      <c r="BP177" s="94"/>
      <c r="BQ177" s="94"/>
      <c r="BR177" s="94"/>
      <c r="BS177" s="94"/>
      <c r="BT177" s="94"/>
      <c r="BU177" s="94"/>
    </row>
    <row r="178" spans="52:73" s="20" customFormat="1" x14ac:dyDescent="0.2">
      <c r="AZ178" s="94"/>
      <c r="BA178" s="94"/>
      <c r="BB178" s="94"/>
      <c r="BC178" s="94"/>
      <c r="BD178" s="94"/>
      <c r="BE178" s="94"/>
      <c r="BF178" s="94"/>
      <c r="BG178" s="94"/>
      <c r="BH178" s="94"/>
      <c r="BI178" s="94"/>
      <c r="BJ178" s="94"/>
      <c r="BK178" s="94"/>
      <c r="BL178" s="94"/>
      <c r="BM178" s="94"/>
      <c r="BN178" s="94"/>
      <c r="BO178" s="94"/>
      <c r="BP178" s="94"/>
      <c r="BQ178" s="94"/>
      <c r="BR178" s="94"/>
      <c r="BS178" s="94"/>
      <c r="BT178" s="94"/>
      <c r="BU178" s="94"/>
    </row>
    <row r="179" spans="52:73" s="20" customFormat="1" x14ac:dyDescent="0.2">
      <c r="AZ179" s="94"/>
      <c r="BA179" s="94"/>
      <c r="BB179" s="94"/>
      <c r="BC179" s="94"/>
      <c r="BD179" s="94"/>
      <c r="BE179" s="94"/>
      <c r="BF179" s="94"/>
      <c r="BG179" s="94"/>
      <c r="BH179" s="94"/>
      <c r="BI179" s="94"/>
      <c r="BJ179" s="94"/>
      <c r="BK179" s="94"/>
      <c r="BL179" s="94"/>
      <c r="BM179" s="94"/>
      <c r="BN179" s="94"/>
      <c r="BO179" s="94"/>
      <c r="BP179" s="94"/>
      <c r="BQ179" s="94"/>
      <c r="BR179" s="94"/>
      <c r="BS179" s="94"/>
      <c r="BT179" s="94"/>
      <c r="BU179" s="94"/>
    </row>
    <row r="180" spans="52:73" s="20" customFormat="1" x14ac:dyDescent="0.2">
      <c r="AZ180" s="94"/>
      <c r="BA180" s="94"/>
      <c r="BB180" s="94"/>
      <c r="BC180" s="94"/>
      <c r="BD180" s="94"/>
      <c r="BE180" s="94"/>
      <c r="BF180" s="94"/>
      <c r="BG180" s="94"/>
      <c r="BH180" s="94"/>
      <c r="BI180" s="94"/>
      <c r="BJ180" s="94"/>
      <c r="BK180" s="94"/>
      <c r="BL180" s="94"/>
      <c r="BM180" s="94"/>
      <c r="BN180" s="94"/>
      <c r="BO180" s="94"/>
      <c r="BP180" s="94"/>
      <c r="BQ180" s="94"/>
      <c r="BR180" s="94"/>
      <c r="BS180" s="94"/>
      <c r="BT180" s="94"/>
      <c r="BU180" s="94"/>
    </row>
    <row r="181" spans="52:73" s="20" customFormat="1" x14ac:dyDescent="0.2">
      <c r="AZ181" s="94"/>
      <c r="BA181" s="94"/>
      <c r="BB181" s="94"/>
      <c r="BC181" s="94"/>
      <c r="BD181" s="94"/>
      <c r="BE181" s="94"/>
      <c r="BF181" s="94"/>
      <c r="BG181" s="94"/>
      <c r="BH181" s="94"/>
      <c r="BI181" s="94"/>
      <c r="BJ181" s="94"/>
      <c r="BK181" s="94"/>
      <c r="BL181" s="94"/>
      <c r="BM181" s="94"/>
      <c r="BN181" s="94"/>
      <c r="BO181" s="94"/>
      <c r="BP181" s="94"/>
      <c r="BQ181" s="94"/>
      <c r="BR181" s="94"/>
      <c r="BS181" s="94"/>
      <c r="BT181" s="94"/>
      <c r="BU181" s="94"/>
    </row>
    <row r="182" spans="52:73" s="20" customFormat="1" x14ac:dyDescent="0.2">
      <c r="AZ182" s="94"/>
      <c r="BA182" s="94"/>
      <c r="BB182" s="94"/>
      <c r="BC182" s="94"/>
      <c r="BD182" s="94"/>
      <c r="BE182" s="94"/>
      <c r="BF182" s="94"/>
      <c r="BG182" s="94"/>
      <c r="BH182" s="94"/>
      <c r="BI182" s="94"/>
      <c r="BJ182" s="94"/>
      <c r="BK182" s="94"/>
      <c r="BL182" s="94"/>
      <c r="BM182" s="94"/>
      <c r="BN182" s="94"/>
      <c r="BO182" s="94"/>
      <c r="BP182" s="94"/>
      <c r="BQ182" s="94"/>
      <c r="BR182" s="94"/>
      <c r="BS182" s="94"/>
      <c r="BT182" s="94"/>
      <c r="BU182" s="94"/>
    </row>
    <row r="183" spans="52:73" s="20" customFormat="1" x14ac:dyDescent="0.2">
      <c r="AZ183" s="94"/>
      <c r="BA183" s="94"/>
      <c r="BB183" s="94"/>
      <c r="BC183" s="94"/>
      <c r="BD183" s="94"/>
      <c r="BE183" s="94"/>
      <c r="BF183" s="94"/>
      <c r="BG183" s="94"/>
      <c r="BH183" s="94"/>
      <c r="BI183" s="94"/>
      <c r="BJ183" s="94"/>
      <c r="BK183" s="94"/>
      <c r="BL183" s="94"/>
      <c r="BM183" s="94"/>
      <c r="BN183" s="94"/>
      <c r="BO183" s="94"/>
      <c r="BP183" s="94"/>
      <c r="BQ183" s="94"/>
      <c r="BR183" s="94"/>
      <c r="BS183" s="94"/>
      <c r="BT183" s="94"/>
      <c r="BU183" s="94"/>
    </row>
    <row r="184" spans="52:73" s="20" customFormat="1" x14ac:dyDescent="0.2">
      <c r="AZ184" s="94"/>
      <c r="BA184" s="94"/>
      <c r="BB184" s="94"/>
      <c r="BC184" s="94"/>
      <c r="BD184" s="94"/>
      <c r="BE184" s="94"/>
      <c r="BF184" s="94"/>
      <c r="BG184" s="94"/>
      <c r="BH184" s="94"/>
      <c r="BI184" s="94"/>
      <c r="BJ184" s="94"/>
      <c r="BK184" s="94"/>
      <c r="BL184" s="94"/>
      <c r="BM184" s="94"/>
      <c r="BN184" s="94"/>
      <c r="BO184" s="94"/>
      <c r="BP184" s="94"/>
      <c r="BQ184" s="94"/>
      <c r="BR184" s="94"/>
      <c r="BS184" s="94"/>
      <c r="BT184" s="94"/>
      <c r="BU184" s="94"/>
    </row>
    <row r="185" spans="52:73" s="20" customFormat="1" x14ac:dyDescent="0.2">
      <c r="AZ185" s="94"/>
      <c r="BA185" s="94"/>
      <c r="BB185" s="94"/>
      <c r="BC185" s="94"/>
      <c r="BD185" s="94"/>
      <c r="BE185" s="94"/>
      <c r="BF185" s="94"/>
      <c r="BG185" s="94"/>
      <c r="BH185" s="94"/>
      <c r="BI185" s="94"/>
      <c r="BJ185" s="94"/>
      <c r="BK185" s="94"/>
      <c r="BL185" s="94"/>
      <c r="BM185" s="94"/>
      <c r="BN185" s="94"/>
      <c r="BO185" s="94"/>
      <c r="BP185" s="94"/>
      <c r="BQ185" s="94"/>
      <c r="BR185" s="94"/>
      <c r="BS185" s="94"/>
      <c r="BT185" s="94"/>
      <c r="BU185" s="94"/>
    </row>
    <row r="186" spans="52:73" s="20" customFormat="1" x14ac:dyDescent="0.2">
      <c r="AZ186" s="94"/>
      <c r="BA186" s="94"/>
      <c r="BB186" s="94"/>
      <c r="BC186" s="94"/>
      <c r="BD186" s="94"/>
      <c r="BE186" s="94"/>
      <c r="BF186" s="94"/>
      <c r="BG186" s="94"/>
      <c r="BH186" s="94"/>
      <c r="BI186" s="94"/>
      <c r="BJ186" s="94"/>
      <c r="BK186" s="94"/>
      <c r="BL186" s="94"/>
      <c r="BM186" s="94"/>
      <c r="BN186" s="94"/>
      <c r="BO186" s="94"/>
      <c r="BP186" s="94"/>
      <c r="BQ186" s="94"/>
      <c r="BR186" s="94"/>
      <c r="BS186" s="94"/>
      <c r="BT186" s="94"/>
      <c r="BU186" s="94"/>
    </row>
    <row r="187" spans="52:73" s="20" customFormat="1" x14ac:dyDescent="0.2">
      <c r="AZ187" s="94"/>
      <c r="BA187" s="94"/>
      <c r="BB187" s="94"/>
      <c r="BC187" s="94"/>
      <c r="BD187" s="94"/>
      <c r="BE187" s="94"/>
      <c r="BF187" s="94"/>
      <c r="BG187" s="94"/>
      <c r="BH187" s="94"/>
      <c r="BI187" s="94"/>
      <c r="BJ187" s="94"/>
      <c r="BK187" s="94"/>
      <c r="BL187" s="94"/>
      <c r="BM187" s="94"/>
      <c r="BN187" s="94"/>
      <c r="BO187" s="94"/>
      <c r="BP187" s="94"/>
      <c r="BQ187" s="94"/>
      <c r="BR187" s="94"/>
      <c r="BS187" s="94"/>
      <c r="BT187" s="94"/>
      <c r="BU187" s="94"/>
    </row>
    <row r="188" spans="52:73" s="20" customFormat="1" x14ac:dyDescent="0.2">
      <c r="AZ188" s="94"/>
      <c r="BA188" s="94"/>
      <c r="BB188" s="94"/>
      <c r="BC188" s="94"/>
      <c r="BD188" s="94"/>
      <c r="BE188" s="94"/>
      <c r="BF188" s="94"/>
      <c r="BG188" s="94"/>
      <c r="BH188" s="94"/>
      <c r="BI188" s="94"/>
      <c r="BJ188" s="94"/>
      <c r="BK188" s="94"/>
      <c r="BL188" s="94"/>
      <c r="BM188" s="94"/>
      <c r="BN188" s="94"/>
      <c r="BO188" s="94"/>
      <c r="BP188" s="94"/>
      <c r="BQ188" s="94"/>
      <c r="BR188" s="94"/>
      <c r="BS188" s="94"/>
      <c r="BT188" s="94"/>
      <c r="BU188" s="94"/>
    </row>
    <row r="189" spans="52:73" s="20" customFormat="1" x14ac:dyDescent="0.2">
      <c r="AZ189" s="94"/>
      <c r="BA189" s="94"/>
      <c r="BB189" s="94"/>
      <c r="BC189" s="94"/>
      <c r="BD189" s="94"/>
      <c r="BE189" s="94"/>
      <c r="BF189" s="94"/>
      <c r="BG189" s="94"/>
      <c r="BH189" s="94"/>
      <c r="BI189" s="94"/>
      <c r="BJ189" s="94"/>
      <c r="BK189" s="94"/>
      <c r="BL189" s="94"/>
      <c r="BM189" s="94"/>
      <c r="BN189" s="94"/>
      <c r="BO189" s="94"/>
      <c r="BP189" s="94"/>
      <c r="BQ189" s="94"/>
      <c r="BR189" s="94"/>
      <c r="BS189" s="94"/>
      <c r="BT189" s="94"/>
      <c r="BU189" s="94"/>
    </row>
    <row r="190" spans="52:73" s="20" customFormat="1" x14ac:dyDescent="0.2">
      <c r="AZ190" s="94"/>
      <c r="BA190" s="94"/>
      <c r="BB190" s="94"/>
      <c r="BC190" s="94"/>
      <c r="BD190" s="94"/>
      <c r="BE190" s="94"/>
      <c r="BF190" s="94"/>
      <c r="BG190" s="94"/>
      <c r="BH190" s="94"/>
      <c r="BI190" s="94"/>
      <c r="BJ190" s="94"/>
      <c r="BK190" s="94"/>
      <c r="BL190" s="94"/>
      <c r="BM190" s="94"/>
      <c r="BN190" s="94"/>
      <c r="BO190" s="94"/>
      <c r="BP190" s="94"/>
      <c r="BQ190" s="94"/>
      <c r="BR190" s="94"/>
      <c r="BS190" s="94"/>
      <c r="BT190" s="94"/>
      <c r="BU190" s="94"/>
    </row>
    <row r="191" spans="52:73" s="20" customFormat="1" x14ac:dyDescent="0.2">
      <c r="AZ191" s="94"/>
      <c r="BA191" s="94"/>
      <c r="BB191" s="94"/>
      <c r="BC191" s="94"/>
      <c r="BD191" s="94"/>
      <c r="BE191" s="94"/>
      <c r="BF191" s="94"/>
      <c r="BG191" s="94"/>
      <c r="BH191" s="94"/>
      <c r="BI191" s="94"/>
      <c r="BJ191" s="94"/>
      <c r="BK191" s="94"/>
      <c r="BL191" s="94"/>
      <c r="BM191" s="94"/>
      <c r="BN191" s="94"/>
      <c r="BO191" s="94"/>
      <c r="BP191" s="94"/>
      <c r="BQ191" s="94"/>
      <c r="BR191" s="94"/>
      <c r="BS191" s="94"/>
      <c r="BT191" s="94"/>
      <c r="BU191" s="94"/>
    </row>
    <row r="192" spans="52:73" s="20" customFormat="1" x14ac:dyDescent="0.2">
      <c r="AZ192" s="94"/>
      <c r="BA192" s="94"/>
      <c r="BB192" s="94"/>
      <c r="BC192" s="94"/>
      <c r="BD192" s="94"/>
      <c r="BE192" s="94"/>
      <c r="BF192" s="94"/>
      <c r="BG192" s="94"/>
      <c r="BH192" s="94"/>
      <c r="BI192" s="94"/>
      <c r="BJ192" s="94"/>
      <c r="BK192" s="94"/>
      <c r="BL192" s="94"/>
      <c r="BM192" s="94"/>
      <c r="BN192" s="94"/>
      <c r="BO192" s="94"/>
      <c r="BP192" s="94"/>
      <c r="BQ192" s="94"/>
      <c r="BR192" s="94"/>
      <c r="BS192" s="94"/>
      <c r="BT192" s="94"/>
      <c r="BU192" s="94"/>
    </row>
    <row r="193" spans="2:51" x14ac:dyDescent="0.2">
      <c r="B193" s="20"/>
      <c r="C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</row>
    <row r="194" spans="2:51" x14ac:dyDescent="0.2">
      <c r="B194" s="20"/>
      <c r="C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</row>
    <row r="195" spans="2:51" x14ac:dyDescent="0.2">
      <c r="B195" s="20"/>
      <c r="C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</row>
    <row r="196" spans="2:51" x14ac:dyDescent="0.2">
      <c r="B196" s="20"/>
      <c r="C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</row>
    <row r="197" spans="2:51" x14ac:dyDescent="0.2">
      <c r="B197" s="20"/>
      <c r="C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</row>
    <row r="198" spans="2:51" x14ac:dyDescent="0.2">
      <c r="B198" s="20"/>
      <c r="C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</row>
    <row r="199" spans="2:51" x14ac:dyDescent="0.2">
      <c r="B199" s="20"/>
      <c r="C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</row>
    <row r="200" spans="2:51" x14ac:dyDescent="0.2">
      <c r="B200" s="20"/>
      <c r="C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</row>
    <row r="201" spans="2:51" x14ac:dyDescent="0.2">
      <c r="B201" s="20"/>
      <c r="C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</row>
    <row r="202" spans="2:51" x14ac:dyDescent="0.2">
      <c r="B202" s="20"/>
      <c r="C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</row>
    <row r="203" spans="2:51" x14ac:dyDescent="0.2">
      <c r="B203" s="20"/>
      <c r="C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</row>
    <row r="204" spans="2:51" x14ac:dyDescent="0.2">
      <c r="B204" s="20"/>
      <c r="C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</row>
    <row r="205" spans="2:51" x14ac:dyDescent="0.2">
      <c r="B205" s="20"/>
      <c r="C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</row>
    <row r="206" spans="2:51" x14ac:dyDescent="0.2">
      <c r="B206" s="20"/>
      <c r="C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</row>
    <row r="207" spans="2:51" x14ac:dyDescent="0.2">
      <c r="B207" s="20"/>
      <c r="C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</row>
    <row r="208" spans="2:51" x14ac:dyDescent="0.2">
      <c r="B208" s="20"/>
      <c r="C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</row>
    <row r="209" spans="2:51" x14ac:dyDescent="0.2">
      <c r="B209" s="20"/>
      <c r="C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</row>
    <row r="210" spans="2:51" x14ac:dyDescent="0.2">
      <c r="B210" s="20"/>
      <c r="C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</row>
    <row r="211" spans="2:51" x14ac:dyDescent="0.2">
      <c r="B211" s="20"/>
      <c r="C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</row>
  </sheetData>
  <mergeCells count="23">
    <mergeCell ref="G12:L12"/>
    <mergeCell ref="M12:Z12"/>
    <mergeCell ref="AA12:AN12"/>
    <mergeCell ref="F89:J89"/>
    <mergeCell ref="K89:W89"/>
    <mergeCell ref="AF89:AR89"/>
    <mergeCell ref="AT89:BG89"/>
    <mergeCell ref="BH89:BU89"/>
    <mergeCell ref="F74:J74"/>
    <mergeCell ref="K74:W74"/>
    <mergeCell ref="AF74:AR74"/>
    <mergeCell ref="AT74:BG74"/>
    <mergeCell ref="BH74:BU74"/>
    <mergeCell ref="BH106:BU106"/>
    <mergeCell ref="F126:J126"/>
    <mergeCell ref="K126:W126"/>
    <mergeCell ref="AT126:BG126"/>
    <mergeCell ref="BH126:BU126"/>
    <mergeCell ref="AE126:AR126"/>
    <mergeCell ref="F106:J106"/>
    <mergeCell ref="K106:W106"/>
    <mergeCell ref="AF106:AR106"/>
    <mergeCell ref="AT106:BG106"/>
  </mergeCells>
  <conditionalFormatting sqref="B14:B71">
    <cfRule type="duplicateValues" dxfId="1" priority="2"/>
  </conditionalFormatting>
  <conditionalFormatting sqref="B144:B145">
    <cfRule type="duplicateValues" dxfId="0" priority="5"/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BX75"/>
  <sheetViews>
    <sheetView workbookViewId="0">
      <selection activeCell="AN13" sqref="AN13"/>
    </sheetView>
  </sheetViews>
  <sheetFormatPr baseColWidth="10" defaultRowHeight="15" x14ac:dyDescent="0.25"/>
  <cols>
    <col min="1" max="1" width="3.28515625" customWidth="1"/>
    <col min="2" max="2" width="12.140625" customWidth="1"/>
    <col min="3" max="3" width="22.140625" customWidth="1"/>
    <col min="4" max="4" width="7.42578125" bestFit="1" customWidth="1"/>
    <col min="5" max="5" width="6.42578125" bestFit="1" customWidth="1"/>
    <col min="6" max="14" width="4.85546875" bestFit="1" customWidth="1"/>
    <col min="15" max="22" width="6" bestFit="1" customWidth="1"/>
    <col min="23" max="31" width="4.42578125" bestFit="1" customWidth="1"/>
    <col min="32" max="32" width="5.7109375" bestFit="1" customWidth="1"/>
    <col min="34" max="34" width="13.140625" customWidth="1"/>
    <col min="35" max="35" width="19.140625" customWidth="1"/>
    <col min="36" max="36" width="6.42578125" bestFit="1" customWidth="1"/>
    <col min="37" max="37" width="9.85546875" bestFit="1" customWidth="1"/>
    <col min="38" max="38" width="7.42578125" bestFit="1" customWidth="1"/>
    <col min="39" max="39" width="8.140625" bestFit="1" customWidth="1"/>
    <col min="40" max="40" width="13.28515625" bestFit="1" customWidth="1"/>
    <col min="41" max="49" width="4.42578125" bestFit="1" customWidth="1"/>
    <col min="50" max="51" width="5.7109375" bestFit="1" customWidth="1"/>
    <col min="54" max="54" width="9.28515625" bestFit="1" customWidth="1"/>
  </cols>
  <sheetData>
    <row r="1" spans="2:76" s="20" customFormat="1" ht="12.75" x14ac:dyDescent="0.2">
      <c r="B1" s="101"/>
      <c r="C1" s="96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</row>
    <row r="2" spans="2:76" s="20" customFormat="1" ht="12.75" x14ac:dyDescent="0.2">
      <c r="B2" s="101"/>
      <c r="C2" s="96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</row>
    <row r="3" spans="2:76" s="20" customFormat="1" ht="12.75" x14ac:dyDescent="0.2">
      <c r="B3" s="101"/>
      <c r="C3" s="96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</row>
    <row r="4" spans="2:76" s="20" customFormat="1" ht="12.75" x14ac:dyDescent="0.2">
      <c r="B4" s="101"/>
      <c r="C4" s="96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</row>
    <row r="5" spans="2:76" s="20" customFormat="1" ht="12.75" x14ac:dyDescent="0.2">
      <c r="B5" s="101"/>
      <c r="C5" s="96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</row>
    <row r="6" spans="2:76" s="20" customFormat="1" ht="12.75" x14ac:dyDescent="0.2">
      <c r="B6" s="101"/>
      <c r="C6" s="96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</row>
    <row r="7" spans="2:76" s="20" customFormat="1" ht="18" x14ac:dyDescent="0.2">
      <c r="B7" s="102" t="s">
        <v>0</v>
      </c>
      <c r="C7" s="96"/>
      <c r="I7" s="279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</row>
    <row r="8" spans="2:76" s="20" customFormat="1" ht="18" x14ac:dyDescent="0.2">
      <c r="B8" s="102"/>
      <c r="C8" s="96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</row>
    <row r="9" spans="2:76" s="20" customFormat="1" ht="18" x14ac:dyDescent="0.2">
      <c r="B9" s="102"/>
      <c r="C9" s="96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</row>
    <row r="10" spans="2:76" s="20" customFormat="1" ht="12.75" x14ac:dyDescent="0.2">
      <c r="B10" s="100" t="s">
        <v>643</v>
      </c>
      <c r="C10" s="96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</row>
    <row r="11" spans="2:76" ht="15.75" thickBot="1" x14ac:dyDescent="0.3">
      <c r="B11" s="104"/>
      <c r="C11" s="97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</row>
    <row r="12" spans="2:76" ht="15.75" thickBot="1" x14ac:dyDescent="0.3">
      <c r="B12" s="125"/>
      <c r="C12" s="125"/>
      <c r="D12" s="125"/>
      <c r="E12" s="125"/>
      <c r="F12" s="1328" t="s">
        <v>644</v>
      </c>
      <c r="G12" s="1329"/>
      <c r="H12" s="1329"/>
      <c r="I12" s="1329"/>
      <c r="J12" s="1329"/>
      <c r="K12" s="1329"/>
      <c r="L12" s="1329"/>
      <c r="M12" s="1329"/>
      <c r="N12" s="1329"/>
      <c r="O12" s="1329"/>
      <c r="P12" s="1329"/>
      <c r="Q12" s="1329"/>
      <c r="R12" s="1329"/>
      <c r="S12" s="1329"/>
      <c r="T12" s="1329"/>
      <c r="U12" s="1329"/>
      <c r="V12" s="1330"/>
      <c r="W12" s="1328" t="s">
        <v>645</v>
      </c>
      <c r="X12" s="1329"/>
      <c r="Y12" s="1329"/>
      <c r="Z12" s="1329"/>
      <c r="AA12" s="1329"/>
      <c r="AB12" s="1329"/>
      <c r="AC12" s="1329"/>
      <c r="AD12" s="1329"/>
      <c r="AE12" s="1329"/>
      <c r="AF12" s="1330"/>
      <c r="AG12" s="125"/>
      <c r="AH12" s="125"/>
      <c r="AI12" s="125"/>
      <c r="AJ12" s="125"/>
      <c r="AK12" s="125"/>
      <c r="AL12" s="125"/>
      <c r="AM12" s="125"/>
      <c r="AN12" s="125"/>
      <c r="AO12" s="1328" t="s">
        <v>726</v>
      </c>
      <c r="AP12" s="1329"/>
      <c r="AQ12" s="1329"/>
      <c r="AR12" s="1329"/>
      <c r="AS12" s="1329"/>
      <c r="AT12" s="1329"/>
      <c r="AU12" s="1329"/>
      <c r="AV12" s="1329"/>
      <c r="AW12" s="1329"/>
      <c r="AX12" s="1329"/>
      <c r="AY12" s="1329"/>
      <c r="AZ12" s="1329"/>
      <c r="BA12" s="1329"/>
      <c r="BB12" s="1330"/>
    </row>
    <row r="13" spans="2:76" s="152" customFormat="1" ht="42.75" thickBot="1" x14ac:dyDescent="0.3">
      <c r="B13" s="99" t="s">
        <v>647</v>
      </c>
      <c r="C13" s="99" t="s">
        <v>249</v>
      </c>
      <c r="D13" s="99" t="s">
        <v>725</v>
      </c>
      <c r="E13" s="99" t="s">
        <v>250</v>
      </c>
      <c r="F13" s="153" t="s">
        <v>650</v>
      </c>
      <c r="G13" s="153" t="s">
        <v>651</v>
      </c>
      <c r="H13" s="153" t="s">
        <v>652</v>
      </c>
      <c r="I13" s="153" t="s">
        <v>653</v>
      </c>
      <c r="J13" s="153" t="s">
        <v>654</v>
      </c>
      <c r="K13" s="153" t="s">
        <v>655</v>
      </c>
      <c r="L13" s="153" t="s">
        <v>727</v>
      </c>
      <c r="M13" s="153" t="s">
        <v>728</v>
      </c>
      <c r="N13" s="153" t="s">
        <v>729</v>
      </c>
      <c r="O13" s="153" t="s">
        <v>730</v>
      </c>
      <c r="P13" s="153" t="s">
        <v>731</v>
      </c>
      <c r="Q13" s="153" t="s">
        <v>732</v>
      </c>
      <c r="R13" s="153" t="s">
        <v>733</v>
      </c>
      <c r="S13" s="153" t="s">
        <v>734</v>
      </c>
      <c r="T13" s="153" t="s">
        <v>735</v>
      </c>
      <c r="U13" s="153" t="s">
        <v>736</v>
      </c>
      <c r="V13" s="153" t="s">
        <v>737</v>
      </c>
      <c r="W13" s="153" t="s">
        <v>656</v>
      </c>
      <c r="X13" s="153" t="s">
        <v>657</v>
      </c>
      <c r="Y13" s="153" t="s">
        <v>658</v>
      </c>
      <c r="Z13" s="153" t="s">
        <v>659</v>
      </c>
      <c r="AA13" s="153" t="s">
        <v>660</v>
      </c>
      <c r="AB13" s="153" t="s">
        <v>661</v>
      </c>
      <c r="AC13" s="153" t="s">
        <v>662</v>
      </c>
      <c r="AD13" s="153" t="s">
        <v>663</v>
      </c>
      <c r="AE13" s="153" t="s">
        <v>664</v>
      </c>
      <c r="AF13" s="154" t="s">
        <v>665</v>
      </c>
      <c r="AG13" s="62"/>
      <c r="AH13" s="98" t="s">
        <v>647</v>
      </c>
      <c r="AI13" s="98" t="s">
        <v>249</v>
      </c>
      <c r="AJ13" s="98" t="s">
        <v>250</v>
      </c>
      <c r="AK13" s="98" t="s">
        <v>251</v>
      </c>
      <c r="AL13" s="98" t="s">
        <v>725</v>
      </c>
      <c r="AM13" s="98" t="s">
        <v>670</v>
      </c>
      <c r="AN13" s="151" t="s">
        <v>671</v>
      </c>
      <c r="AO13" s="153" t="s">
        <v>672</v>
      </c>
      <c r="AP13" s="153" t="s">
        <v>673</v>
      </c>
      <c r="AQ13" s="153" t="s">
        <v>674</v>
      </c>
      <c r="AR13" s="153" t="s">
        <v>675</v>
      </c>
      <c r="AS13" s="153" t="s">
        <v>676</v>
      </c>
      <c r="AT13" s="153" t="s">
        <v>677</v>
      </c>
      <c r="AU13" s="153" t="s">
        <v>678</v>
      </c>
      <c r="AV13" s="153" t="s">
        <v>679</v>
      </c>
      <c r="AW13" s="153" t="s">
        <v>680</v>
      </c>
      <c r="AX13" s="153" t="s">
        <v>681</v>
      </c>
      <c r="AY13" s="154" t="s">
        <v>682</v>
      </c>
      <c r="AZ13" s="107" t="s">
        <v>683</v>
      </c>
      <c r="BA13" s="107" t="s">
        <v>684</v>
      </c>
      <c r="BB13" s="107" t="s">
        <v>685</v>
      </c>
    </row>
    <row r="14" spans="2:76" ht="33" x14ac:dyDescent="0.25">
      <c r="B14" s="108" t="s">
        <v>738</v>
      </c>
      <c r="C14" s="109" t="s">
        <v>442</v>
      </c>
      <c r="D14" s="75">
        <v>6</v>
      </c>
      <c r="E14" s="128" t="s">
        <v>686</v>
      </c>
      <c r="F14" s="129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 t="s">
        <v>23</v>
      </c>
      <c r="R14" s="130"/>
      <c r="S14" s="130" t="s">
        <v>23</v>
      </c>
      <c r="T14" s="130" t="s">
        <v>23</v>
      </c>
      <c r="U14" s="130" t="s">
        <v>23</v>
      </c>
      <c r="V14" s="131"/>
      <c r="W14" s="129"/>
      <c r="X14" s="130"/>
      <c r="Y14" s="130"/>
      <c r="Z14" s="130"/>
      <c r="AA14" s="130"/>
      <c r="AB14" s="130" t="s">
        <v>23</v>
      </c>
      <c r="AC14" s="130"/>
      <c r="AD14" s="130"/>
      <c r="AE14" s="130"/>
      <c r="AF14" s="131"/>
      <c r="AG14" s="125"/>
      <c r="AH14" s="108">
        <v>37214001</v>
      </c>
      <c r="AI14" s="109" t="s">
        <v>442</v>
      </c>
      <c r="AJ14" s="110" t="s">
        <v>686</v>
      </c>
      <c r="AK14" s="111" t="s">
        <v>259</v>
      </c>
      <c r="AL14" s="75">
        <v>6</v>
      </c>
      <c r="AM14" s="112" t="s">
        <v>705</v>
      </c>
      <c r="AN14" s="112"/>
      <c r="AO14" s="132"/>
      <c r="AP14" s="133"/>
      <c r="AQ14" s="133"/>
      <c r="AR14" s="133"/>
      <c r="AS14" s="133"/>
      <c r="AT14" s="133"/>
      <c r="AU14" s="133">
        <v>24</v>
      </c>
      <c r="AV14" s="133"/>
      <c r="AW14" s="133"/>
      <c r="AX14" s="133">
        <v>30</v>
      </c>
      <c r="AY14" s="134">
        <v>96</v>
      </c>
      <c r="AZ14" s="132">
        <v>60</v>
      </c>
      <c r="BA14" s="134">
        <v>90</v>
      </c>
      <c r="BB14" s="135">
        <v>150</v>
      </c>
    </row>
    <row r="15" spans="2:76" ht="33" x14ac:dyDescent="0.25">
      <c r="B15" s="113" t="s">
        <v>739</v>
      </c>
      <c r="C15" s="114" t="s">
        <v>445</v>
      </c>
      <c r="D15" s="80">
        <v>6</v>
      </c>
      <c r="E15" s="128" t="s">
        <v>686</v>
      </c>
      <c r="F15" s="136"/>
      <c r="G15" s="128"/>
      <c r="H15" s="128"/>
      <c r="I15" s="128"/>
      <c r="J15" s="128"/>
      <c r="K15" s="128"/>
      <c r="L15" s="128" t="s">
        <v>23</v>
      </c>
      <c r="M15" s="128"/>
      <c r="N15" s="128"/>
      <c r="O15" s="128"/>
      <c r="P15" s="128"/>
      <c r="Q15" s="128" t="s">
        <v>23</v>
      </c>
      <c r="R15" s="128"/>
      <c r="S15" s="128"/>
      <c r="T15" s="128" t="s">
        <v>23</v>
      </c>
      <c r="U15" s="128" t="s">
        <v>23</v>
      </c>
      <c r="V15" s="137" t="s">
        <v>23</v>
      </c>
      <c r="W15" s="136"/>
      <c r="X15" s="128"/>
      <c r="Y15" s="128" t="s">
        <v>23</v>
      </c>
      <c r="Z15" s="128"/>
      <c r="AA15" s="128" t="s">
        <v>23</v>
      </c>
      <c r="AB15" s="128"/>
      <c r="AC15" s="128" t="s">
        <v>23</v>
      </c>
      <c r="AD15" s="128"/>
      <c r="AE15" s="128"/>
      <c r="AF15" s="137"/>
      <c r="AG15" s="125"/>
      <c r="AH15" s="113">
        <v>37214006</v>
      </c>
      <c r="AI15" s="115" t="s">
        <v>445</v>
      </c>
      <c r="AJ15" s="78" t="s">
        <v>686</v>
      </c>
      <c r="AK15" s="111" t="s">
        <v>259</v>
      </c>
      <c r="AL15" s="80">
        <v>6</v>
      </c>
      <c r="AM15" s="80" t="s">
        <v>705</v>
      </c>
      <c r="AN15" s="80"/>
      <c r="AO15" s="138"/>
      <c r="AP15" s="135"/>
      <c r="AQ15" s="135"/>
      <c r="AR15" s="135"/>
      <c r="AS15" s="135"/>
      <c r="AT15" s="135"/>
      <c r="AU15" s="135">
        <v>32</v>
      </c>
      <c r="AV15" s="135"/>
      <c r="AW15" s="135"/>
      <c r="AX15" s="135">
        <v>48</v>
      </c>
      <c r="AY15" s="139">
        <v>70</v>
      </c>
      <c r="AZ15" s="138">
        <v>60</v>
      </c>
      <c r="BA15" s="139">
        <v>90</v>
      </c>
      <c r="BB15" s="135">
        <v>150</v>
      </c>
    </row>
    <row r="16" spans="2:76" ht="22.5" x14ac:dyDescent="0.25">
      <c r="B16" s="113" t="s">
        <v>740</v>
      </c>
      <c r="C16" s="114" t="s">
        <v>270</v>
      </c>
      <c r="D16" s="80">
        <v>6</v>
      </c>
      <c r="E16" s="128" t="s">
        <v>686</v>
      </c>
      <c r="F16" s="136"/>
      <c r="G16" s="128"/>
      <c r="H16" s="128"/>
      <c r="I16" s="128" t="s">
        <v>23</v>
      </c>
      <c r="J16" s="128"/>
      <c r="K16" s="128"/>
      <c r="L16" s="128"/>
      <c r="M16" s="128"/>
      <c r="N16" s="128"/>
      <c r="O16" s="128"/>
      <c r="P16" s="128"/>
      <c r="Q16" s="128" t="s">
        <v>23</v>
      </c>
      <c r="R16" s="128"/>
      <c r="S16" s="128" t="s">
        <v>23</v>
      </c>
      <c r="T16" s="128" t="s">
        <v>23</v>
      </c>
      <c r="U16" s="128" t="s">
        <v>23</v>
      </c>
      <c r="V16" s="137"/>
      <c r="W16" s="136"/>
      <c r="X16" s="128"/>
      <c r="Y16" s="128"/>
      <c r="Z16" s="128"/>
      <c r="AA16" s="128" t="s">
        <v>23</v>
      </c>
      <c r="AB16" s="128"/>
      <c r="AC16" s="128" t="s">
        <v>23</v>
      </c>
      <c r="AD16" s="128" t="s">
        <v>23</v>
      </c>
      <c r="AE16" s="128"/>
      <c r="AF16" s="137" t="s">
        <v>23</v>
      </c>
      <c r="AG16" s="125"/>
      <c r="AH16" s="113">
        <v>37214102</v>
      </c>
      <c r="AI16" s="114" t="s">
        <v>270</v>
      </c>
      <c r="AJ16" s="78" t="s">
        <v>686</v>
      </c>
      <c r="AK16" s="79" t="s">
        <v>269</v>
      </c>
      <c r="AL16" s="80">
        <v>6</v>
      </c>
      <c r="AM16" s="80" t="s">
        <v>705</v>
      </c>
      <c r="AN16" s="80"/>
      <c r="AO16" s="138"/>
      <c r="AP16" s="135"/>
      <c r="AQ16" s="135"/>
      <c r="AR16" s="135">
        <v>70</v>
      </c>
      <c r="AS16" s="135"/>
      <c r="AT16" s="135">
        <v>26</v>
      </c>
      <c r="AU16" s="135">
        <v>9</v>
      </c>
      <c r="AV16" s="135"/>
      <c r="AW16" s="135"/>
      <c r="AX16" s="135">
        <v>18</v>
      </c>
      <c r="AY16" s="139">
        <v>27</v>
      </c>
      <c r="AZ16" s="138">
        <v>60</v>
      </c>
      <c r="BA16" s="139">
        <v>90</v>
      </c>
      <c r="BB16" s="135">
        <v>150</v>
      </c>
    </row>
    <row r="17" spans="1:54" ht="22.5" x14ac:dyDescent="0.25">
      <c r="B17" s="113" t="s">
        <v>741</v>
      </c>
      <c r="C17" s="114" t="s">
        <v>446</v>
      </c>
      <c r="D17" s="80">
        <v>12</v>
      </c>
      <c r="E17" s="128" t="s">
        <v>686</v>
      </c>
      <c r="F17" s="136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37"/>
      <c r="W17" s="136"/>
      <c r="X17" s="128"/>
      <c r="Y17" s="128"/>
      <c r="Z17" s="128"/>
      <c r="AA17" s="128"/>
      <c r="AB17" s="128"/>
      <c r="AC17" s="128"/>
      <c r="AD17" s="128"/>
      <c r="AE17" s="128"/>
      <c r="AF17" s="137"/>
      <c r="AG17" s="125"/>
      <c r="AH17" s="113">
        <v>37214106</v>
      </c>
      <c r="AI17" s="114" t="s">
        <v>446</v>
      </c>
      <c r="AJ17" s="78" t="s">
        <v>686</v>
      </c>
      <c r="AK17" s="79" t="s">
        <v>269</v>
      </c>
      <c r="AL17" s="80">
        <v>12</v>
      </c>
      <c r="AM17" s="80"/>
      <c r="AN17" s="80"/>
      <c r="AO17" s="138"/>
      <c r="AP17" s="135"/>
      <c r="AQ17" s="135"/>
      <c r="AR17" s="135"/>
      <c r="AS17" s="135"/>
      <c r="AT17" s="135"/>
      <c r="AU17" s="135"/>
      <c r="AV17" s="135"/>
      <c r="AW17" s="135"/>
      <c r="AX17" s="135"/>
      <c r="AY17" s="139"/>
      <c r="AZ17" s="138"/>
      <c r="BA17" s="139"/>
      <c r="BB17" s="135"/>
    </row>
    <row r="18" spans="1:54" x14ac:dyDescent="0.25">
      <c r="B18" s="113"/>
      <c r="C18" s="78" t="s">
        <v>948</v>
      </c>
      <c r="D18" s="80"/>
      <c r="E18" s="128" t="s">
        <v>686</v>
      </c>
      <c r="F18" s="136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 t="s">
        <v>23</v>
      </c>
      <c r="R18" s="128"/>
      <c r="S18" s="128" t="s">
        <v>23</v>
      </c>
      <c r="T18" s="128" t="s">
        <v>23</v>
      </c>
      <c r="U18" s="128" t="s">
        <v>23</v>
      </c>
      <c r="V18" s="137" t="s">
        <v>23</v>
      </c>
      <c r="W18" s="136"/>
      <c r="X18" s="128"/>
      <c r="Y18" s="128"/>
      <c r="Z18" s="128"/>
      <c r="AA18" s="128" t="s">
        <v>23</v>
      </c>
      <c r="AB18" s="128"/>
      <c r="AC18" s="128"/>
      <c r="AD18" s="128" t="s">
        <v>23</v>
      </c>
      <c r="AE18" s="128"/>
      <c r="AF18" s="137" t="s">
        <v>23</v>
      </c>
      <c r="AG18" s="125"/>
      <c r="AH18" s="113"/>
      <c r="AI18" s="78" t="s">
        <v>948</v>
      </c>
      <c r="AJ18" s="78" t="s">
        <v>686</v>
      </c>
      <c r="AK18" s="78"/>
      <c r="AL18" s="80"/>
      <c r="AM18" s="80" t="s">
        <v>705</v>
      </c>
      <c r="AN18" s="80"/>
      <c r="AO18" s="138"/>
      <c r="AP18" s="135"/>
      <c r="AQ18" s="135"/>
      <c r="AR18" s="135">
        <v>73</v>
      </c>
      <c r="AS18" s="135"/>
      <c r="AT18" s="135">
        <v>17</v>
      </c>
      <c r="AU18" s="135">
        <v>4</v>
      </c>
      <c r="AV18" s="135"/>
      <c r="AW18" s="135"/>
      <c r="AX18" s="135">
        <v>26</v>
      </c>
      <c r="AY18" s="139">
        <v>30</v>
      </c>
      <c r="AZ18" s="138">
        <v>60</v>
      </c>
      <c r="BA18" s="139">
        <v>90</v>
      </c>
      <c r="BB18" s="135">
        <v>150</v>
      </c>
    </row>
    <row r="19" spans="1:54" x14ac:dyDescent="0.25">
      <c r="B19" s="113"/>
      <c r="C19" s="78" t="s">
        <v>742</v>
      </c>
      <c r="D19" s="80"/>
      <c r="E19" s="128" t="s">
        <v>686</v>
      </c>
      <c r="F19" s="136"/>
      <c r="G19" s="128"/>
      <c r="H19" s="128"/>
      <c r="I19" s="128"/>
      <c r="J19" s="128"/>
      <c r="K19" s="128"/>
      <c r="L19" s="128"/>
      <c r="M19" s="128" t="s">
        <v>23</v>
      </c>
      <c r="N19" s="128" t="s">
        <v>23</v>
      </c>
      <c r="O19" s="128"/>
      <c r="P19" s="128"/>
      <c r="Q19" s="128" t="s">
        <v>23</v>
      </c>
      <c r="R19" s="128"/>
      <c r="S19" s="128" t="s">
        <v>23</v>
      </c>
      <c r="T19" s="128"/>
      <c r="U19" s="128" t="s">
        <v>23</v>
      </c>
      <c r="V19" s="137" t="s">
        <v>23</v>
      </c>
      <c r="W19" s="136"/>
      <c r="X19" s="128"/>
      <c r="Y19" s="128"/>
      <c r="Z19" s="128"/>
      <c r="AA19" s="128" t="s">
        <v>23</v>
      </c>
      <c r="AB19" s="128"/>
      <c r="AC19" s="128"/>
      <c r="AD19" s="128" t="s">
        <v>23</v>
      </c>
      <c r="AE19" s="128"/>
      <c r="AF19" s="137" t="s">
        <v>23</v>
      </c>
      <c r="AG19" s="125"/>
      <c r="AH19" s="113"/>
      <c r="AI19" s="78" t="s">
        <v>742</v>
      </c>
      <c r="AJ19" s="78" t="s">
        <v>686</v>
      </c>
      <c r="AK19" s="78"/>
      <c r="AL19" s="80"/>
      <c r="AM19" s="80" t="s">
        <v>705</v>
      </c>
      <c r="AN19" s="80"/>
      <c r="AO19" s="138"/>
      <c r="AP19" s="135"/>
      <c r="AQ19" s="135"/>
      <c r="AR19" s="135">
        <v>73</v>
      </c>
      <c r="AS19" s="135"/>
      <c r="AT19" s="135">
        <v>17</v>
      </c>
      <c r="AU19" s="135">
        <v>4</v>
      </c>
      <c r="AV19" s="135"/>
      <c r="AW19" s="135"/>
      <c r="AX19" s="135">
        <v>26</v>
      </c>
      <c r="AY19" s="139">
        <v>30</v>
      </c>
      <c r="AZ19" s="138">
        <v>60</v>
      </c>
      <c r="BA19" s="139">
        <v>90</v>
      </c>
      <c r="BB19" s="135">
        <v>150</v>
      </c>
    </row>
    <row r="20" spans="1:54" ht="33" x14ac:dyDescent="0.25">
      <c r="B20" s="113" t="s">
        <v>743</v>
      </c>
      <c r="C20" s="114" t="s">
        <v>447</v>
      </c>
      <c r="D20" s="80">
        <v>6</v>
      </c>
      <c r="E20" s="128" t="s">
        <v>686</v>
      </c>
      <c r="F20" s="136"/>
      <c r="G20" s="128"/>
      <c r="H20" s="128"/>
      <c r="I20" s="128"/>
      <c r="J20" s="128"/>
      <c r="K20" s="128"/>
      <c r="L20" s="128"/>
      <c r="M20" s="128" t="s">
        <v>23</v>
      </c>
      <c r="N20" s="128"/>
      <c r="O20" s="128"/>
      <c r="P20" s="128"/>
      <c r="Q20" s="128" t="s">
        <v>23</v>
      </c>
      <c r="R20" s="128"/>
      <c r="S20" s="128" t="s">
        <v>23</v>
      </c>
      <c r="T20" s="128" t="s">
        <v>23</v>
      </c>
      <c r="U20" s="128"/>
      <c r="V20" s="137" t="s">
        <v>23</v>
      </c>
      <c r="W20" s="136"/>
      <c r="X20" s="128"/>
      <c r="Y20" s="128"/>
      <c r="Z20" s="128"/>
      <c r="AA20" s="128" t="s">
        <v>23</v>
      </c>
      <c r="AB20" s="128"/>
      <c r="AC20" s="128"/>
      <c r="AD20" s="128" t="s">
        <v>23</v>
      </c>
      <c r="AE20" s="128"/>
      <c r="AF20" s="137" t="s">
        <v>23</v>
      </c>
      <c r="AG20" s="125"/>
      <c r="AH20" s="113">
        <v>37214104</v>
      </c>
      <c r="AI20" s="114" t="s">
        <v>447</v>
      </c>
      <c r="AJ20" s="78" t="s">
        <v>686</v>
      </c>
      <c r="AK20" s="79" t="s">
        <v>269</v>
      </c>
      <c r="AL20" s="80">
        <v>6</v>
      </c>
      <c r="AM20" s="80" t="s">
        <v>693</v>
      </c>
      <c r="AN20" s="80"/>
      <c r="AO20" s="138"/>
      <c r="AP20" s="135"/>
      <c r="AQ20" s="135"/>
      <c r="AR20" s="135">
        <v>66</v>
      </c>
      <c r="AS20" s="135"/>
      <c r="AT20" s="135">
        <v>20</v>
      </c>
      <c r="AU20" s="135">
        <v>6</v>
      </c>
      <c r="AV20" s="135"/>
      <c r="AW20" s="135"/>
      <c r="AX20" s="135">
        <v>18</v>
      </c>
      <c r="AY20" s="139">
        <v>40</v>
      </c>
      <c r="AZ20" s="138">
        <v>66</v>
      </c>
      <c r="BA20" s="139">
        <v>84</v>
      </c>
      <c r="BB20" s="135">
        <v>150</v>
      </c>
    </row>
    <row r="21" spans="1:54" ht="22.5" x14ac:dyDescent="0.25">
      <c r="B21" s="113" t="s">
        <v>744</v>
      </c>
      <c r="C21" s="114" t="s">
        <v>448</v>
      </c>
      <c r="D21" s="80">
        <v>6</v>
      </c>
      <c r="E21" s="128" t="s">
        <v>686</v>
      </c>
      <c r="F21" s="136"/>
      <c r="G21" s="128"/>
      <c r="H21" s="128"/>
      <c r="I21" s="128"/>
      <c r="J21" s="128"/>
      <c r="K21" s="128" t="s">
        <v>23</v>
      </c>
      <c r="L21" s="128"/>
      <c r="M21" s="128"/>
      <c r="N21" s="128"/>
      <c r="O21" s="128"/>
      <c r="P21" s="128"/>
      <c r="Q21" s="128" t="s">
        <v>23</v>
      </c>
      <c r="R21" s="128"/>
      <c r="S21" s="128" t="s">
        <v>23</v>
      </c>
      <c r="T21" s="128" t="s">
        <v>23</v>
      </c>
      <c r="U21" s="128"/>
      <c r="V21" s="137" t="s">
        <v>23</v>
      </c>
      <c r="W21" s="136"/>
      <c r="X21" s="128"/>
      <c r="Y21" s="128"/>
      <c r="Z21" s="128"/>
      <c r="AA21" s="128"/>
      <c r="AB21" s="128" t="s">
        <v>23</v>
      </c>
      <c r="AC21" s="128"/>
      <c r="AD21" s="128"/>
      <c r="AE21" s="128"/>
      <c r="AF21" s="137" t="s">
        <v>23</v>
      </c>
      <c r="AG21" s="125"/>
      <c r="AH21" s="113">
        <v>37214002</v>
      </c>
      <c r="AI21" s="114" t="s">
        <v>448</v>
      </c>
      <c r="AJ21" s="78" t="s">
        <v>686</v>
      </c>
      <c r="AK21" s="111" t="s">
        <v>259</v>
      </c>
      <c r="AL21" s="80">
        <v>6</v>
      </c>
      <c r="AM21" s="80" t="s">
        <v>705</v>
      </c>
      <c r="AN21" s="80"/>
      <c r="AO21" s="138"/>
      <c r="AP21" s="135"/>
      <c r="AQ21" s="135"/>
      <c r="AR21" s="135">
        <v>19</v>
      </c>
      <c r="AS21" s="135"/>
      <c r="AT21" s="135"/>
      <c r="AU21" s="135">
        <v>46</v>
      </c>
      <c r="AV21" s="135"/>
      <c r="AW21" s="135"/>
      <c r="AX21" s="135">
        <v>40</v>
      </c>
      <c r="AY21" s="139">
        <v>45</v>
      </c>
      <c r="AZ21" s="138">
        <v>65</v>
      </c>
      <c r="BA21" s="139">
        <v>85</v>
      </c>
      <c r="BB21" s="135">
        <v>150</v>
      </c>
    </row>
    <row r="22" spans="1:54" ht="54" x14ac:dyDescent="0.25">
      <c r="B22" s="113" t="s">
        <v>745</v>
      </c>
      <c r="C22" s="114" t="s">
        <v>449</v>
      </c>
      <c r="D22" s="80">
        <v>6</v>
      </c>
      <c r="E22" s="128" t="s">
        <v>686</v>
      </c>
      <c r="F22" s="136"/>
      <c r="G22" s="128"/>
      <c r="H22" s="128"/>
      <c r="I22" s="128"/>
      <c r="J22" s="128"/>
      <c r="K22" s="128"/>
      <c r="L22" s="128"/>
      <c r="M22" s="128"/>
      <c r="N22" s="128" t="s">
        <v>23</v>
      </c>
      <c r="O22" s="128"/>
      <c r="P22" s="128"/>
      <c r="Q22" s="128" t="s">
        <v>23</v>
      </c>
      <c r="R22" s="128"/>
      <c r="S22" s="128"/>
      <c r="T22" s="128" t="s">
        <v>23</v>
      </c>
      <c r="U22" s="128"/>
      <c r="V22" s="137" t="s">
        <v>23</v>
      </c>
      <c r="W22" s="136"/>
      <c r="X22" s="128"/>
      <c r="Y22" s="128"/>
      <c r="Z22" s="128"/>
      <c r="AA22" s="128" t="s">
        <v>23</v>
      </c>
      <c r="AB22" s="128"/>
      <c r="AC22" s="128" t="s">
        <v>23</v>
      </c>
      <c r="AD22" s="128" t="s">
        <v>23</v>
      </c>
      <c r="AE22" s="128"/>
      <c r="AF22" s="137" t="s">
        <v>23</v>
      </c>
      <c r="AG22" s="125"/>
      <c r="AH22" s="113">
        <v>37214010</v>
      </c>
      <c r="AI22" s="114" t="s">
        <v>449</v>
      </c>
      <c r="AJ22" s="78" t="s">
        <v>686</v>
      </c>
      <c r="AK22" s="111" t="s">
        <v>259</v>
      </c>
      <c r="AL22" s="80">
        <v>6</v>
      </c>
      <c r="AM22" s="80" t="s">
        <v>705</v>
      </c>
      <c r="AN22" s="80"/>
      <c r="AO22" s="138"/>
      <c r="AP22" s="135"/>
      <c r="AQ22" s="135"/>
      <c r="AR22" s="135">
        <v>61</v>
      </c>
      <c r="AS22" s="135"/>
      <c r="AT22" s="135"/>
      <c r="AU22" s="135">
        <v>34</v>
      </c>
      <c r="AV22" s="135"/>
      <c r="AW22" s="135"/>
      <c r="AX22" s="135">
        <v>14</v>
      </c>
      <c r="AY22" s="139">
        <v>40</v>
      </c>
      <c r="AZ22" s="138">
        <v>59</v>
      </c>
      <c r="BA22" s="139">
        <v>91</v>
      </c>
      <c r="BB22" s="135">
        <v>150</v>
      </c>
    </row>
    <row r="23" spans="1:54" ht="22.5" x14ac:dyDescent="0.25">
      <c r="B23" s="113" t="s">
        <v>746</v>
      </c>
      <c r="C23" s="114" t="s">
        <v>450</v>
      </c>
      <c r="D23" s="80">
        <v>6</v>
      </c>
      <c r="E23" s="128" t="s">
        <v>686</v>
      </c>
      <c r="F23" s="136"/>
      <c r="G23" s="128"/>
      <c r="H23" s="128"/>
      <c r="I23" s="128"/>
      <c r="J23" s="128"/>
      <c r="K23" s="128"/>
      <c r="L23" s="128" t="s">
        <v>23</v>
      </c>
      <c r="M23" s="128"/>
      <c r="N23" s="128"/>
      <c r="O23" s="128"/>
      <c r="P23" s="128"/>
      <c r="Q23" s="128" t="s">
        <v>23</v>
      </c>
      <c r="R23" s="128"/>
      <c r="S23" s="128"/>
      <c r="T23" s="128" t="s">
        <v>23</v>
      </c>
      <c r="U23" s="128"/>
      <c r="V23" s="137" t="s">
        <v>23</v>
      </c>
      <c r="W23" s="136"/>
      <c r="X23" s="128"/>
      <c r="Y23" s="128" t="s">
        <v>23</v>
      </c>
      <c r="Z23" s="128"/>
      <c r="AA23" s="128" t="s">
        <v>23</v>
      </c>
      <c r="AB23" s="128"/>
      <c r="AC23" s="128" t="s">
        <v>23</v>
      </c>
      <c r="AD23" s="128"/>
      <c r="AE23" s="128"/>
      <c r="AF23" s="137"/>
      <c r="AG23" s="125"/>
      <c r="AH23" s="113">
        <v>37214101</v>
      </c>
      <c r="AI23" s="114" t="s">
        <v>450</v>
      </c>
      <c r="AJ23" s="78" t="s">
        <v>686</v>
      </c>
      <c r="AK23" s="79" t="s">
        <v>269</v>
      </c>
      <c r="AL23" s="80">
        <v>6</v>
      </c>
      <c r="AM23" s="80" t="s">
        <v>705</v>
      </c>
      <c r="AN23" s="80"/>
      <c r="AO23" s="138">
        <v>2</v>
      </c>
      <c r="AP23" s="135"/>
      <c r="AQ23" s="135"/>
      <c r="AR23" s="135"/>
      <c r="AS23" s="135"/>
      <c r="AT23" s="135"/>
      <c r="AU23" s="135">
        <v>22</v>
      </c>
      <c r="AV23" s="135"/>
      <c r="AW23" s="135">
        <v>16</v>
      </c>
      <c r="AX23" s="135">
        <v>55</v>
      </c>
      <c r="AY23" s="139">
        <v>55</v>
      </c>
      <c r="AZ23" s="138">
        <v>60</v>
      </c>
      <c r="BA23" s="139">
        <v>90</v>
      </c>
      <c r="BB23" s="135">
        <v>150</v>
      </c>
    </row>
    <row r="24" spans="1:54" ht="33.75" thickBot="1" x14ac:dyDescent="0.3">
      <c r="B24" s="113" t="s">
        <v>747</v>
      </c>
      <c r="C24" s="114" t="s">
        <v>451</v>
      </c>
      <c r="D24" s="80">
        <v>6</v>
      </c>
      <c r="E24" s="128" t="s">
        <v>686</v>
      </c>
      <c r="F24" s="136"/>
      <c r="G24" s="128"/>
      <c r="H24" s="128"/>
      <c r="I24" s="128"/>
      <c r="J24" s="128"/>
      <c r="K24" s="128"/>
      <c r="L24" s="128"/>
      <c r="M24" s="128"/>
      <c r="N24" s="128" t="s">
        <v>23</v>
      </c>
      <c r="O24" s="128"/>
      <c r="P24" s="128"/>
      <c r="Q24" s="128" t="s">
        <v>23</v>
      </c>
      <c r="R24" s="128"/>
      <c r="S24" s="128" t="s">
        <v>23</v>
      </c>
      <c r="T24" s="128" t="s">
        <v>23</v>
      </c>
      <c r="U24" s="128" t="s">
        <v>23</v>
      </c>
      <c r="V24" s="137"/>
      <c r="W24" s="136"/>
      <c r="X24" s="128"/>
      <c r="Y24" s="128" t="s">
        <v>23</v>
      </c>
      <c r="Z24" s="128"/>
      <c r="AA24" s="128"/>
      <c r="AB24" s="128" t="s">
        <v>23</v>
      </c>
      <c r="AC24" s="128"/>
      <c r="AD24" s="128"/>
      <c r="AE24" s="128"/>
      <c r="AF24" s="137"/>
      <c r="AG24" s="125"/>
      <c r="AH24" s="113">
        <v>37214005</v>
      </c>
      <c r="AI24" s="114" t="s">
        <v>451</v>
      </c>
      <c r="AJ24" s="78" t="s">
        <v>686</v>
      </c>
      <c r="AK24" s="111" t="s">
        <v>259</v>
      </c>
      <c r="AL24" s="80">
        <v>6</v>
      </c>
      <c r="AM24" s="80" t="s">
        <v>705</v>
      </c>
      <c r="AN24" s="80"/>
      <c r="AO24" s="138">
        <v>2</v>
      </c>
      <c r="AP24" s="135"/>
      <c r="AQ24" s="135"/>
      <c r="AR24" s="135"/>
      <c r="AS24" s="135"/>
      <c r="AT24" s="135"/>
      <c r="AU24" s="135">
        <v>23</v>
      </c>
      <c r="AV24" s="135"/>
      <c r="AW24" s="135">
        <v>20</v>
      </c>
      <c r="AX24" s="135">
        <v>20</v>
      </c>
      <c r="AY24" s="135">
        <v>85</v>
      </c>
      <c r="AZ24" s="140">
        <v>60</v>
      </c>
      <c r="BA24" s="139">
        <v>90</v>
      </c>
      <c r="BB24" s="141">
        <v>150</v>
      </c>
    </row>
    <row r="25" spans="1:54" ht="15.75" thickBot="1" x14ac:dyDescent="0.3"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42">
        <f>SUM(AZ14:AZ24)</f>
        <v>610</v>
      </c>
      <c r="BA25" s="142">
        <f>SUM(BA14:BA24)</f>
        <v>890</v>
      </c>
      <c r="BB25" s="142">
        <f>SUM(BB14:BB24)</f>
        <v>1500</v>
      </c>
    </row>
    <row r="26" spans="1:54" ht="15.75" thickBot="1" x14ac:dyDescent="0.3"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43">
        <f>AZ25/BB25</f>
        <v>0.40666666666666668</v>
      </c>
      <c r="BA26" s="143">
        <f>BA25/BB25</f>
        <v>0.59333333333333338</v>
      </c>
      <c r="BB26" s="143">
        <f>BB25/BB25</f>
        <v>1</v>
      </c>
    </row>
    <row r="27" spans="1:54" ht="15.75" thickBot="1" x14ac:dyDescent="0.3">
      <c r="B27" s="83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</row>
    <row r="28" spans="1:54" ht="15.75" thickBot="1" x14ac:dyDescent="0.3">
      <c r="B28" s="125"/>
      <c r="C28" s="125"/>
      <c r="D28" s="125"/>
      <c r="E28" s="125"/>
      <c r="F28" s="1328" t="s">
        <v>644</v>
      </c>
      <c r="G28" s="1329"/>
      <c r="H28" s="1329"/>
      <c r="I28" s="1329"/>
      <c r="J28" s="1329"/>
      <c r="K28" s="1329"/>
      <c r="L28" s="1329"/>
      <c r="M28" s="1329"/>
      <c r="N28" s="1329"/>
      <c r="O28" s="1329"/>
      <c r="P28" s="1329"/>
      <c r="Q28" s="1329"/>
      <c r="R28" s="1329"/>
      <c r="S28" s="1329"/>
      <c r="T28" s="1329"/>
      <c r="U28" s="1329"/>
      <c r="V28" s="1330"/>
      <c r="W28" s="1328" t="s">
        <v>645</v>
      </c>
      <c r="X28" s="1329"/>
      <c r="Y28" s="1329"/>
      <c r="Z28" s="1329"/>
      <c r="AA28" s="1329"/>
      <c r="AB28" s="1329"/>
      <c r="AC28" s="1329"/>
      <c r="AD28" s="1329"/>
      <c r="AE28" s="1329"/>
      <c r="AF28" s="1330"/>
      <c r="AG28" s="125"/>
      <c r="AH28" s="125"/>
      <c r="AI28" s="125"/>
      <c r="AJ28" s="125"/>
      <c r="AK28" s="125"/>
      <c r="AL28" s="125"/>
      <c r="AM28" s="125"/>
      <c r="AN28" s="125"/>
      <c r="AO28" s="1328" t="s">
        <v>726</v>
      </c>
      <c r="AP28" s="1329"/>
      <c r="AQ28" s="1329"/>
      <c r="AR28" s="1329"/>
      <c r="AS28" s="1329"/>
      <c r="AT28" s="1329"/>
      <c r="AU28" s="1329"/>
      <c r="AV28" s="1329"/>
      <c r="AW28" s="1329"/>
      <c r="AX28" s="1329"/>
      <c r="AY28" s="1329"/>
      <c r="AZ28" s="1329"/>
      <c r="BA28" s="1329"/>
      <c r="BB28" s="1330"/>
    </row>
    <row r="29" spans="1:54" ht="42.75" thickBot="1" x14ac:dyDescent="0.3">
      <c r="A29" s="152"/>
      <c r="B29" s="99" t="s">
        <v>647</v>
      </c>
      <c r="C29" s="99" t="s">
        <v>249</v>
      </c>
      <c r="D29" s="99" t="s">
        <v>725</v>
      </c>
      <c r="E29" s="99" t="s">
        <v>250</v>
      </c>
      <c r="F29" s="153" t="s">
        <v>650</v>
      </c>
      <c r="G29" s="153" t="s">
        <v>651</v>
      </c>
      <c r="H29" s="153" t="s">
        <v>652</v>
      </c>
      <c r="I29" s="153" t="s">
        <v>653</v>
      </c>
      <c r="J29" s="153" t="s">
        <v>654</v>
      </c>
      <c r="K29" s="153" t="s">
        <v>655</v>
      </c>
      <c r="L29" s="153" t="s">
        <v>727</v>
      </c>
      <c r="M29" s="153" t="s">
        <v>728</v>
      </c>
      <c r="N29" s="153" t="s">
        <v>729</v>
      </c>
      <c r="O29" s="153" t="s">
        <v>730</v>
      </c>
      <c r="P29" s="153" t="s">
        <v>731</v>
      </c>
      <c r="Q29" s="153" t="s">
        <v>732</v>
      </c>
      <c r="R29" s="153" t="s">
        <v>733</v>
      </c>
      <c r="S29" s="153" t="s">
        <v>734</v>
      </c>
      <c r="T29" s="153" t="s">
        <v>735</v>
      </c>
      <c r="U29" s="153" t="s">
        <v>736</v>
      </c>
      <c r="V29" s="153" t="s">
        <v>737</v>
      </c>
      <c r="W29" s="153" t="s">
        <v>656</v>
      </c>
      <c r="X29" s="153" t="s">
        <v>657</v>
      </c>
      <c r="Y29" s="153" t="s">
        <v>658</v>
      </c>
      <c r="Z29" s="153" t="s">
        <v>659</v>
      </c>
      <c r="AA29" s="153" t="s">
        <v>660</v>
      </c>
      <c r="AB29" s="153" t="s">
        <v>661</v>
      </c>
      <c r="AC29" s="153" t="s">
        <v>662</v>
      </c>
      <c r="AD29" s="153" t="s">
        <v>663</v>
      </c>
      <c r="AE29" s="153" t="s">
        <v>664</v>
      </c>
      <c r="AF29" s="154" t="s">
        <v>665</v>
      </c>
      <c r="AG29" s="62"/>
      <c r="AH29" s="98" t="s">
        <v>647</v>
      </c>
      <c r="AI29" s="98" t="s">
        <v>249</v>
      </c>
      <c r="AJ29" s="98" t="s">
        <v>250</v>
      </c>
      <c r="AK29" s="98" t="s">
        <v>251</v>
      </c>
      <c r="AL29" s="98" t="s">
        <v>725</v>
      </c>
      <c r="AM29" s="98" t="s">
        <v>670</v>
      </c>
      <c r="AN29" s="151" t="s">
        <v>671</v>
      </c>
      <c r="AO29" s="153" t="s">
        <v>672</v>
      </c>
      <c r="AP29" s="153" t="s">
        <v>673</v>
      </c>
      <c r="AQ29" s="153" t="s">
        <v>674</v>
      </c>
      <c r="AR29" s="153" t="s">
        <v>675</v>
      </c>
      <c r="AS29" s="153" t="s">
        <v>676</v>
      </c>
      <c r="AT29" s="153" t="s">
        <v>677</v>
      </c>
      <c r="AU29" s="153" t="s">
        <v>678</v>
      </c>
      <c r="AV29" s="153" t="s">
        <v>679</v>
      </c>
      <c r="AW29" s="153" t="s">
        <v>680</v>
      </c>
      <c r="AX29" s="153" t="s">
        <v>681</v>
      </c>
      <c r="AY29" s="154" t="s">
        <v>682</v>
      </c>
      <c r="AZ29" s="107" t="s">
        <v>683</v>
      </c>
      <c r="BA29" s="107" t="s">
        <v>684</v>
      </c>
      <c r="BB29" s="107" t="s">
        <v>685</v>
      </c>
    </row>
    <row r="30" spans="1:54" ht="22.5" x14ac:dyDescent="0.25">
      <c r="B30" s="108">
        <v>37214003</v>
      </c>
      <c r="C30" s="116" t="s">
        <v>452</v>
      </c>
      <c r="D30" s="75">
        <v>6</v>
      </c>
      <c r="E30" s="128" t="s">
        <v>697</v>
      </c>
      <c r="F30" s="129" t="s">
        <v>23</v>
      </c>
      <c r="G30" s="130"/>
      <c r="H30" s="130"/>
      <c r="I30" s="130"/>
      <c r="J30" s="130"/>
      <c r="K30" s="130"/>
      <c r="L30" s="130" t="s">
        <v>23</v>
      </c>
      <c r="M30" s="130"/>
      <c r="N30" s="130"/>
      <c r="O30" s="130"/>
      <c r="P30" s="130"/>
      <c r="Q30" s="130" t="s">
        <v>23</v>
      </c>
      <c r="R30" s="130"/>
      <c r="S30" s="130" t="s">
        <v>23</v>
      </c>
      <c r="T30" s="130" t="s">
        <v>23</v>
      </c>
      <c r="U30" s="130"/>
      <c r="V30" s="131" t="s">
        <v>23</v>
      </c>
      <c r="W30" s="129"/>
      <c r="X30" s="130"/>
      <c r="Y30" s="130"/>
      <c r="Z30" s="130"/>
      <c r="AA30" s="130"/>
      <c r="AB30" s="130" t="s">
        <v>23</v>
      </c>
      <c r="AC30" s="130" t="s">
        <v>23</v>
      </c>
      <c r="AD30" s="130" t="s">
        <v>23</v>
      </c>
      <c r="AE30" s="130"/>
      <c r="AF30" s="131"/>
      <c r="AG30" s="125"/>
      <c r="AH30" s="108">
        <v>37214003</v>
      </c>
      <c r="AI30" s="116" t="s">
        <v>452</v>
      </c>
      <c r="AJ30" s="79" t="s">
        <v>697</v>
      </c>
      <c r="AK30" s="79" t="s">
        <v>259</v>
      </c>
      <c r="AL30" s="80">
        <v>6</v>
      </c>
      <c r="AM30" s="76" t="s">
        <v>705</v>
      </c>
      <c r="AN30" s="76"/>
      <c r="AO30" s="132"/>
      <c r="AP30" s="133"/>
      <c r="AQ30" s="133"/>
      <c r="AR30" s="133">
        <v>26</v>
      </c>
      <c r="AS30" s="133"/>
      <c r="AT30" s="133"/>
      <c r="AU30" s="133">
        <v>24</v>
      </c>
      <c r="AV30" s="133"/>
      <c r="AW30" s="133"/>
      <c r="AX30" s="133">
        <v>41</v>
      </c>
      <c r="AY30" s="134">
        <v>59</v>
      </c>
      <c r="AZ30" s="132">
        <v>65</v>
      </c>
      <c r="BA30" s="134">
        <v>85</v>
      </c>
      <c r="BB30" s="135">
        <f>SUM(AZ30+BA30)</f>
        <v>150</v>
      </c>
    </row>
    <row r="31" spans="1:54" ht="33" x14ac:dyDescent="0.25">
      <c r="B31" s="113">
        <v>37214004</v>
      </c>
      <c r="C31" s="116" t="s">
        <v>453</v>
      </c>
      <c r="D31" s="80">
        <v>6</v>
      </c>
      <c r="E31" s="128" t="s">
        <v>697</v>
      </c>
      <c r="F31" s="136" t="s">
        <v>23</v>
      </c>
      <c r="G31" s="128"/>
      <c r="H31" s="128"/>
      <c r="I31" s="128"/>
      <c r="J31" s="128"/>
      <c r="K31" s="128"/>
      <c r="L31" s="128" t="s">
        <v>23</v>
      </c>
      <c r="M31" s="128"/>
      <c r="N31" s="128" t="s">
        <v>23</v>
      </c>
      <c r="O31" s="128"/>
      <c r="P31" s="128"/>
      <c r="Q31" s="128"/>
      <c r="R31" s="128"/>
      <c r="S31" s="128" t="s">
        <v>23</v>
      </c>
      <c r="T31" s="128" t="s">
        <v>23</v>
      </c>
      <c r="U31" s="128" t="s">
        <v>23</v>
      </c>
      <c r="V31" s="137"/>
      <c r="W31" s="136"/>
      <c r="X31" s="128"/>
      <c r="Y31" s="128"/>
      <c r="Z31" s="128"/>
      <c r="AA31" s="128"/>
      <c r="AB31" s="128" t="s">
        <v>23</v>
      </c>
      <c r="AC31" s="128"/>
      <c r="AD31" s="128" t="s">
        <v>23</v>
      </c>
      <c r="AE31" s="128"/>
      <c r="AF31" s="137"/>
      <c r="AG31" s="125"/>
      <c r="AH31" s="113">
        <v>37214004</v>
      </c>
      <c r="AI31" s="116" t="s">
        <v>453</v>
      </c>
      <c r="AJ31" s="79" t="s">
        <v>697</v>
      </c>
      <c r="AK31" s="79" t="s">
        <v>259</v>
      </c>
      <c r="AL31" s="80">
        <v>6</v>
      </c>
      <c r="AM31" s="81" t="s">
        <v>705</v>
      </c>
      <c r="AN31" s="81"/>
      <c r="AO31" s="138"/>
      <c r="AP31" s="135"/>
      <c r="AQ31" s="135"/>
      <c r="AR31" s="135">
        <v>16</v>
      </c>
      <c r="AS31" s="135"/>
      <c r="AT31" s="135"/>
      <c r="AU31" s="135">
        <v>14</v>
      </c>
      <c r="AV31" s="135"/>
      <c r="AW31" s="135"/>
      <c r="AX31" s="135">
        <v>38</v>
      </c>
      <c r="AY31" s="139">
        <v>82</v>
      </c>
      <c r="AZ31" s="138">
        <v>62</v>
      </c>
      <c r="BA31" s="139">
        <v>88</v>
      </c>
      <c r="BB31" s="135">
        <f>SUM(AZ31+BA31)</f>
        <v>150</v>
      </c>
    </row>
    <row r="32" spans="1:54" ht="33" x14ac:dyDescent="0.25">
      <c r="B32" s="113">
        <v>37214008</v>
      </c>
      <c r="C32" s="116" t="s">
        <v>454</v>
      </c>
      <c r="D32" s="80">
        <v>6</v>
      </c>
      <c r="E32" s="128" t="s">
        <v>697</v>
      </c>
      <c r="F32" s="136"/>
      <c r="G32" s="128" t="s">
        <v>23</v>
      </c>
      <c r="H32" s="128"/>
      <c r="I32" s="128"/>
      <c r="J32" s="128"/>
      <c r="K32" s="128"/>
      <c r="L32" s="128" t="s">
        <v>23</v>
      </c>
      <c r="M32" s="128"/>
      <c r="N32" s="128"/>
      <c r="O32" s="128"/>
      <c r="P32" s="128"/>
      <c r="Q32" s="128"/>
      <c r="R32" s="128"/>
      <c r="S32" s="128"/>
      <c r="T32" s="128" t="s">
        <v>23</v>
      </c>
      <c r="U32" s="128" t="s">
        <v>23</v>
      </c>
      <c r="V32" s="137" t="s">
        <v>23</v>
      </c>
      <c r="W32" s="136"/>
      <c r="X32" s="128"/>
      <c r="Y32" s="128" t="s">
        <v>23</v>
      </c>
      <c r="Z32" s="128"/>
      <c r="AA32" s="128"/>
      <c r="AB32" s="128"/>
      <c r="AC32" s="128" t="s">
        <v>23</v>
      </c>
      <c r="AD32" s="128"/>
      <c r="AE32" s="128"/>
      <c r="AF32" s="137" t="s">
        <v>23</v>
      </c>
      <c r="AG32" s="125"/>
      <c r="AH32" s="113">
        <v>37214008</v>
      </c>
      <c r="AI32" s="116" t="s">
        <v>454</v>
      </c>
      <c r="AJ32" s="79" t="s">
        <v>697</v>
      </c>
      <c r="AK32" s="79" t="s">
        <v>259</v>
      </c>
      <c r="AL32" s="80">
        <v>6</v>
      </c>
      <c r="AM32" s="81" t="s">
        <v>705</v>
      </c>
      <c r="AN32" s="81"/>
      <c r="AO32" s="138">
        <v>2</v>
      </c>
      <c r="AP32" s="135"/>
      <c r="AQ32" s="135"/>
      <c r="AR32" s="135"/>
      <c r="AS32" s="135"/>
      <c r="AT32" s="135"/>
      <c r="AU32" s="135">
        <v>22</v>
      </c>
      <c r="AV32" s="135">
        <v>55</v>
      </c>
      <c r="AW32" s="135"/>
      <c r="AX32" s="135">
        <v>16</v>
      </c>
      <c r="AY32" s="139">
        <v>55</v>
      </c>
      <c r="AZ32" s="138">
        <v>60</v>
      </c>
      <c r="BA32" s="139">
        <v>90</v>
      </c>
      <c r="BB32" s="135">
        <f>SUM(AZ32+BA32)</f>
        <v>150</v>
      </c>
    </row>
    <row r="33" spans="2:54" ht="43.5" x14ac:dyDescent="0.25">
      <c r="B33" s="113">
        <v>37214009</v>
      </c>
      <c r="C33" s="116" t="s">
        <v>455</v>
      </c>
      <c r="D33" s="80">
        <v>12</v>
      </c>
      <c r="E33" s="128" t="s">
        <v>697</v>
      </c>
      <c r="F33" s="136"/>
      <c r="G33" s="128"/>
      <c r="H33" s="128"/>
      <c r="I33" s="128" t="s">
        <v>23</v>
      </c>
      <c r="J33" s="128"/>
      <c r="K33" s="128"/>
      <c r="L33" s="128" t="s">
        <v>23</v>
      </c>
      <c r="M33" s="128"/>
      <c r="N33" s="128"/>
      <c r="O33" s="128"/>
      <c r="P33" s="128"/>
      <c r="Q33" s="128" t="s">
        <v>23</v>
      </c>
      <c r="R33" s="128"/>
      <c r="S33" s="128"/>
      <c r="T33" s="128" t="s">
        <v>23</v>
      </c>
      <c r="U33" s="128" t="s">
        <v>23</v>
      </c>
      <c r="V33" s="137" t="s">
        <v>23</v>
      </c>
      <c r="W33" s="136"/>
      <c r="X33" s="128"/>
      <c r="Y33" s="128" t="s">
        <v>23</v>
      </c>
      <c r="Z33" s="128"/>
      <c r="AA33" s="128" t="s">
        <v>23</v>
      </c>
      <c r="AB33" s="128"/>
      <c r="AC33" s="128" t="s">
        <v>23</v>
      </c>
      <c r="AD33" s="128"/>
      <c r="AE33" s="128"/>
      <c r="AF33" s="137" t="s">
        <v>23</v>
      </c>
      <c r="AG33" s="125"/>
      <c r="AH33" s="113">
        <v>37214009</v>
      </c>
      <c r="AI33" s="116" t="s">
        <v>455</v>
      </c>
      <c r="AJ33" s="79" t="s">
        <v>697</v>
      </c>
      <c r="AK33" s="79" t="s">
        <v>259</v>
      </c>
      <c r="AL33" s="80">
        <v>6</v>
      </c>
      <c r="AM33" s="81" t="s">
        <v>705</v>
      </c>
      <c r="AN33" s="81"/>
      <c r="AO33" s="138">
        <v>2</v>
      </c>
      <c r="AP33" s="135">
        <v>50</v>
      </c>
      <c r="AQ33" s="135">
        <v>27</v>
      </c>
      <c r="AR33" s="135"/>
      <c r="AS33" s="135"/>
      <c r="AT33" s="135"/>
      <c r="AU33" s="135"/>
      <c r="AV33" s="135"/>
      <c r="AW33" s="135"/>
      <c r="AX33" s="135">
        <v>16</v>
      </c>
      <c r="AY33" s="139">
        <v>55</v>
      </c>
      <c r="AZ33" s="138">
        <v>60</v>
      </c>
      <c r="BA33" s="139">
        <v>90</v>
      </c>
      <c r="BB33" s="135">
        <f>SUM(AZ33+BA33)</f>
        <v>150</v>
      </c>
    </row>
    <row r="34" spans="2:54" x14ac:dyDescent="0.25">
      <c r="B34" s="113">
        <v>37214107</v>
      </c>
      <c r="C34" s="116" t="s">
        <v>456</v>
      </c>
      <c r="D34" s="80"/>
      <c r="E34" s="128" t="s">
        <v>697</v>
      </c>
      <c r="F34" s="136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37"/>
      <c r="W34" s="136"/>
      <c r="X34" s="128"/>
      <c r="Y34" s="128"/>
      <c r="Z34" s="128"/>
      <c r="AA34" s="128"/>
      <c r="AB34" s="128"/>
      <c r="AC34" s="128"/>
      <c r="AD34" s="128"/>
      <c r="AE34" s="128"/>
      <c r="AF34" s="137"/>
      <c r="AG34" s="125"/>
      <c r="AH34" s="113">
        <v>37214107</v>
      </c>
      <c r="AI34" s="116" t="s">
        <v>456</v>
      </c>
      <c r="AJ34" s="79" t="s">
        <v>697</v>
      </c>
      <c r="AK34" s="79" t="s">
        <v>269</v>
      </c>
      <c r="AL34" s="80">
        <v>12</v>
      </c>
      <c r="AM34" s="81"/>
      <c r="AN34" s="81"/>
      <c r="AO34" s="138"/>
      <c r="AP34" s="135"/>
      <c r="AQ34" s="135"/>
      <c r="AR34" s="135"/>
      <c r="AS34" s="135"/>
      <c r="AT34" s="135"/>
      <c r="AU34" s="135"/>
      <c r="AV34" s="135"/>
      <c r="AW34" s="135"/>
      <c r="AX34" s="135"/>
      <c r="AY34" s="139"/>
      <c r="AZ34" s="138"/>
      <c r="BA34" s="139"/>
      <c r="BB34" s="135"/>
    </row>
    <row r="35" spans="2:54" x14ac:dyDescent="0.25">
      <c r="B35" s="113"/>
      <c r="C35" s="117" t="s">
        <v>748</v>
      </c>
      <c r="D35" s="80"/>
      <c r="E35" s="128" t="s">
        <v>697</v>
      </c>
      <c r="F35" s="136"/>
      <c r="G35" s="128"/>
      <c r="H35" s="128"/>
      <c r="I35" s="128"/>
      <c r="J35" s="128"/>
      <c r="K35" s="128"/>
      <c r="L35" s="128"/>
      <c r="M35" s="128" t="s">
        <v>23</v>
      </c>
      <c r="N35" s="128"/>
      <c r="O35" s="128"/>
      <c r="P35" s="128"/>
      <c r="Q35" s="128" t="s">
        <v>23</v>
      </c>
      <c r="R35" s="128"/>
      <c r="S35" s="128" t="s">
        <v>23</v>
      </c>
      <c r="T35" s="128" t="s">
        <v>23</v>
      </c>
      <c r="U35" s="128"/>
      <c r="V35" s="137"/>
      <c r="W35" s="136"/>
      <c r="X35" s="128"/>
      <c r="Y35" s="128"/>
      <c r="Z35" s="128"/>
      <c r="AA35" s="128" t="s">
        <v>23</v>
      </c>
      <c r="AB35" s="128"/>
      <c r="AC35" s="128"/>
      <c r="AD35" s="128" t="s">
        <v>23</v>
      </c>
      <c r="AE35" s="128"/>
      <c r="AF35" s="137" t="s">
        <v>23</v>
      </c>
      <c r="AG35" s="125"/>
      <c r="AH35" s="113"/>
      <c r="AI35" s="117" t="s">
        <v>748</v>
      </c>
      <c r="AJ35" s="79" t="s">
        <v>697</v>
      </c>
      <c r="AK35" s="79"/>
      <c r="AL35" s="80"/>
      <c r="AM35" s="81" t="s">
        <v>705</v>
      </c>
      <c r="AN35" s="81"/>
      <c r="AO35" s="138"/>
      <c r="AP35" s="135"/>
      <c r="AQ35" s="135"/>
      <c r="AR35" s="135">
        <v>69</v>
      </c>
      <c r="AS35" s="135">
        <v>33</v>
      </c>
      <c r="AT35" s="135"/>
      <c r="AU35" s="135"/>
      <c r="AV35" s="135"/>
      <c r="AW35" s="135"/>
      <c r="AX35" s="135">
        <v>15</v>
      </c>
      <c r="AY35" s="139">
        <v>33</v>
      </c>
      <c r="AZ35" s="138">
        <v>66</v>
      </c>
      <c r="BA35" s="139">
        <v>84</v>
      </c>
      <c r="BB35" s="135">
        <f t="shared" ref="BB35:BB40" si="0">SUM(AZ35+BA35)</f>
        <v>150</v>
      </c>
    </row>
    <row r="36" spans="2:54" x14ac:dyDescent="0.25">
      <c r="B36" s="113"/>
      <c r="C36" s="117" t="s">
        <v>749</v>
      </c>
      <c r="D36" s="80">
        <v>6</v>
      </c>
      <c r="E36" s="128" t="s">
        <v>697</v>
      </c>
      <c r="F36" s="136"/>
      <c r="G36" s="128"/>
      <c r="H36" s="128"/>
      <c r="I36" s="128"/>
      <c r="J36" s="128"/>
      <c r="K36" s="128"/>
      <c r="L36" s="128"/>
      <c r="M36" s="128" t="s">
        <v>23</v>
      </c>
      <c r="N36" s="128"/>
      <c r="O36" s="128"/>
      <c r="P36" s="128"/>
      <c r="Q36" s="128" t="s">
        <v>23</v>
      </c>
      <c r="R36" s="128"/>
      <c r="S36" s="128" t="s">
        <v>23</v>
      </c>
      <c r="T36" s="128" t="s">
        <v>23</v>
      </c>
      <c r="U36" s="128"/>
      <c r="V36" s="137"/>
      <c r="W36" s="136"/>
      <c r="X36" s="128"/>
      <c r="Y36" s="128"/>
      <c r="Z36" s="128"/>
      <c r="AA36" s="128" t="s">
        <v>23</v>
      </c>
      <c r="AB36" s="128"/>
      <c r="AC36" s="128" t="s">
        <v>23</v>
      </c>
      <c r="AD36" s="128"/>
      <c r="AE36" s="128"/>
      <c r="AF36" s="137" t="s">
        <v>23</v>
      </c>
      <c r="AG36" s="125"/>
      <c r="AH36" s="113"/>
      <c r="AI36" s="117" t="s">
        <v>749</v>
      </c>
      <c r="AJ36" s="79" t="s">
        <v>697</v>
      </c>
      <c r="AK36" s="79"/>
      <c r="AL36" s="80"/>
      <c r="AM36" s="81" t="s">
        <v>705</v>
      </c>
      <c r="AN36" s="81"/>
      <c r="AO36" s="138"/>
      <c r="AP36" s="135"/>
      <c r="AQ36" s="135"/>
      <c r="AR36" s="135">
        <v>62</v>
      </c>
      <c r="AS36" s="135"/>
      <c r="AT36" s="135">
        <v>10</v>
      </c>
      <c r="AU36" s="135">
        <v>23</v>
      </c>
      <c r="AV36" s="135"/>
      <c r="AW36" s="135"/>
      <c r="AX36" s="135">
        <v>14</v>
      </c>
      <c r="AY36" s="139">
        <v>41</v>
      </c>
      <c r="AZ36" s="138">
        <v>66</v>
      </c>
      <c r="BA36" s="139">
        <v>84</v>
      </c>
      <c r="BB36" s="135">
        <f t="shared" si="0"/>
        <v>150</v>
      </c>
    </row>
    <row r="37" spans="2:54" x14ac:dyDescent="0.25">
      <c r="B37" s="113">
        <v>37214105</v>
      </c>
      <c r="C37" s="116" t="s">
        <v>457</v>
      </c>
      <c r="D37" s="80">
        <v>6</v>
      </c>
      <c r="E37" s="128" t="s">
        <v>697</v>
      </c>
      <c r="F37" s="136"/>
      <c r="G37" s="128"/>
      <c r="H37" s="128"/>
      <c r="I37" s="128"/>
      <c r="J37" s="128"/>
      <c r="K37" s="128"/>
      <c r="L37" s="128"/>
      <c r="M37" s="128" t="s">
        <v>23</v>
      </c>
      <c r="N37" s="128"/>
      <c r="O37" s="128"/>
      <c r="P37" s="128"/>
      <c r="Q37" s="128" t="s">
        <v>23</v>
      </c>
      <c r="R37" s="128"/>
      <c r="S37" s="128"/>
      <c r="T37" s="128" t="s">
        <v>23</v>
      </c>
      <c r="U37" s="128"/>
      <c r="V37" s="137"/>
      <c r="W37" s="136"/>
      <c r="X37" s="128"/>
      <c r="Y37" s="128"/>
      <c r="Z37" s="128"/>
      <c r="AA37" s="128" t="s">
        <v>23</v>
      </c>
      <c r="AB37" s="128"/>
      <c r="AC37" s="128"/>
      <c r="AD37" s="128" t="s">
        <v>23</v>
      </c>
      <c r="AE37" s="128"/>
      <c r="AF37" s="137" t="s">
        <v>23</v>
      </c>
      <c r="AG37" s="125"/>
      <c r="AH37" s="113">
        <v>37214105</v>
      </c>
      <c r="AI37" s="116" t="s">
        <v>457</v>
      </c>
      <c r="AJ37" s="79" t="s">
        <v>697</v>
      </c>
      <c r="AK37" s="79" t="s">
        <v>269</v>
      </c>
      <c r="AL37" s="80">
        <v>6</v>
      </c>
      <c r="AM37" s="81" t="s">
        <v>693</v>
      </c>
      <c r="AN37" s="81"/>
      <c r="AO37" s="138"/>
      <c r="AP37" s="135"/>
      <c r="AQ37" s="135"/>
      <c r="AR37" s="135">
        <v>46</v>
      </c>
      <c r="AS37" s="135"/>
      <c r="AT37" s="135">
        <v>12</v>
      </c>
      <c r="AU37" s="135">
        <v>10</v>
      </c>
      <c r="AV37" s="135"/>
      <c r="AW37" s="135">
        <v>38</v>
      </c>
      <c r="AX37" s="135"/>
      <c r="AY37" s="139">
        <v>44</v>
      </c>
      <c r="AZ37" s="138">
        <v>60</v>
      </c>
      <c r="BA37" s="139">
        <v>90</v>
      </c>
      <c r="BB37" s="135">
        <f t="shared" si="0"/>
        <v>150</v>
      </c>
    </row>
    <row r="38" spans="2:54" ht="22.5" x14ac:dyDescent="0.25">
      <c r="B38" s="113">
        <v>37214109</v>
      </c>
      <c r="C38" s="116" t="s">
        <v>458</v>
      </c>
      <c r="D38" s="80">
        <v>6</v>
      </c>
      <c r="E38" s="128" t="s">
        <v>697</v>
      </c>
      <c r="F38" s="136"/>
      <c r="G38" s="128" t="s">
        <v>23</v>
      </c>
      <c r="H38" s="128"/>
      <c r="I38" s="128"/>
      <c r="J38" s="128"/>
      <c r="K38" s="128"/>
      <c r="L38" s="128"/>
      <c r="M38" s="128"/>
      <c r="N38" s="128" t="s">
        <v>23</v>
      </c>
      <c r="O38" s="128"/>
      <c r="P38" s="128"/>
      <c r="Q38" s="128"/>
      <c r="R38" s="128"/>
      <c r="S38" s="128" t="s">
        <v>23</v>
      </c>
      <c r="T38" s="128" t="s">
        <v>23</v>
      </c>
      <c r="U38" s="128"/>
      <c r="V38" s="137"/>
      <c r="W38" s="136"/>
      <c r="X38" s="128"/>
      <c r="Y38" s="128"/>
      <c r="Z38" s="128"/>
      <c r="AA38" s="128" t="s">
        <v>23</v>
      </c>
      <c r="AB38" s="128"/>
      <c r="AC38" s="128"/>
      <c r="AD38" s="128"/>
      <c r="AE38" s="128"/>
      <c r="AF38" s="137" t="s">
        <v>23</v>
      </c>
      <c r="AG38" s="125"/>
      <c r="AH38" s="113">
        <v>37214109</v>
      </c>
      <c r="AI38" s="116" t="s">
        <v>458</v>
      </c>
      <c r="AJ38" s="79" t="s">
        <v>697</v>
      </c>
      <c r="AK38" s="79" t="s">
        <v>269</v>
      </c>
      <c r="AL38" s="80">
        <v>6</v>
      </c>
      <c r="AM38" s="81" t="s">
        <v>705</v>
      </c>
      <c r="AN38" s="81"/>
      <c r="AO38" s="138"/>
      <c r="AP38" s="135"/>
      <c r="AQ38" s="135"/>
      <c r="AR38" s="135"/>
      <c r="AS38" s="135"/>
      <c r="AT38" s="135"/>
      <c r="AU38" s="135">
        <v>24</v>
      </c>
      <c r="AV38" s="135"/>
      <c r="AW38" s="135"/>
      <c r="AX38" s="135">
        <v>38</v>
      </c>
      <c r="AY38" s="139">
        <v>88</v>
      </c>
      <c r="AZ38" s="138">
        <v>60</v>
      </c>
      <c r="BA38" s="139">
        <v>90</v>
      </c>
      <c r="BB38" s="135">
        <f t="shared" si="0"/>
        <v>150</v>
      </c>
    </row>
    <row r="39" spans="2:54" ht="54" x14ac:dyDescent="0.25">
      <c r="B39" s="118">
        <v>37214007</v>
      </c>
      <c r="C39" s="115" t="s">
        <v>459</v>
      </c>
      <c r="D39" s="91">
        <v>6</v>
      </c>
      <c r="E39" s="70" t="s">
        <v>697</v>
      </c>
      <c r="F39" s="144" t="s">
        <v>23</v>
      </c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 t="s">
        <v>23</v>
      </c>
      <c r="R39" s="70"/>
      <c r="S39" s="70" t="s">
        <v>23</v>
      </c>
      <c r="T39" s="70" t="s">
        <v>23</v>
      </c>
      <c r="U39" s="70" t="s">
        <v>23</v>
      </c>
      <c r="V39" s="145"/>
      <c r="W39" s="144"/>
      <c r="X39" s="70"/>
      <c r="Y39" s="70"/>
      <c r="Z39" s="70"/>
      <c r="AA39" s="70"/>
      <c r="AB39" s="70" t="s">
        <v>23</v>
      </c>
      <c r="AC39" s="70" t="s">
        <v>23</v>
      </c>
      <c r="AD39" s="70"/>
      <c r="AE39" s="70"/>
      <c r="AF39" s="145" t="s">
        <v>23</v>
      </c>
      <c r="AG39" s="125"/>
      <c r="AH39" s="113">
        <v>37214007</v>
      </c>
      <c r="AI39" s="116" t="s">
        <v>459</v>
      </c>
      <c r="AJ39" s="79" t="s">
        <v>697</v>
      </c>
      <c r="AK39" s="79" t="s">
        <v>259</v>
      </c>
      <c r="AL39" s="80">
        <v>6</v>
      </c>
      <c r="AM39" s="81" t="s">
        <v>705</v>
      </c>
      <c r="AN39" s="81"/>
      <c r="AO39" s="138"/>
      <c r="AP39" s="135"/>
      <c r="AQ39" s="135"/>
      <c r="AR39" s="135"/>
      <c r="AS39" s="135"/>
      <c r="AT39" s="135">
        <v>28</v>
      </c>
      <c r="AU39" s="135"/>
      <c r="AV39" s="135"/>
      <c r="AW39" s="135"/>
      <c r="AX39" s="135">
        <v>61</v>
      </c>
      <c r="AY39" s="139">
        <v>61</v>
      </c>
      <c r="AZ39" s="138">
        <v>60</v>
      </c>
      <c r="BA39" s="139">
        <v>90</v>
      </c>
      <c r="BB39" s="135">
        <f t="shared" si="0"/>
        <v>150</v>
      </c>
    </row>
    <row r="40" spans="2:54" ht="44.25" thickBot="1" x14ac:dyDescent="0.3">
      <c r="B40" s="113">
        <v>37214116</v>
      </c>
      <c r="C40" s="116" t="s">
        <v>460</v>
      </c>
      <c r="D40" s="80">
        <v>6</v>
      </c>
      <c r="E40" s="128" t="s">
        <v>697</v>
      </c>
      <c r="F40" s="136" t="s">
        <v>23</v>
      </c>
      <c r="G40" s="128" t="s">
        <v>23</v>
      </c>
      <c r="H40" s="128"/>
      <c r="I40" s="128"/>
      <c r="J40" s="128" t="s">
        <v>23</v>
      </c>
      <c r="K40" s="128"/>
      <c r="L40" s="128"/>
      <c r="M40" s="128"/>
      <c r="N40" s="128" t="s">
        <v>23</v>
      </c>
      <c r="O40" s="128"/>
      <c r="P40" s="128"/>
      <c r="Q40" s="128"/>
      <c r="R40" s="128"/>
      <c r="S40" s="128"/>
      <c r="T40" s="128" t="s">
        <v>23</v>
      </c>
      <c r="U40" s="128"/>
      <c r="V40" s="137" t="s">
        <v>23</v>
      </c>
      <c r="W40" s="136"/>
      <c r="X40" s="128"/>
      <c r="Y40" s="128"/>
      <c r="Z40" s="128"/>
      <c r="AA40" s="128" t="s">
        <v>23</v>
      </c>
      <c r="AB40" s="128"/>
      <c r="AC40" s="128"/>
      <c r="AD40" s="128"/>
      <c r="AE40" s="128"/>
      <c r="AF40" s="137" t="s">
        <v>23</v>
      </c>
      <c r="AG40" s="125"/>
      <c r="AH40" s="113">
        <v>37214116</v>
      </c>
      <c r="AI40" s="116" t="s">
        <v>460</v>
      </c>
      <c r="AJ40" s="79" t="s">
        <v>697</v>
      </c>
      <c r="AK40" s="79" t="s">
        <v>269</v>
      </c>
      <c r="AL40" s="80">
        <v>6</v>
      </c>
      <c r="AM40" s="81" t="s">
        <v>705</v>
      </c>
      <c r="AN40" s="81"/>
      <c r="AO40" s="138"/>
      <c r="AP40" s="135"/>
      <c r="AQ40" s="135"/>
      <c r="AR40" s="135"/>
      <c r="AS40" s="135"/>
      <c r="AT40" s="135"/>
      <c r="AU40" s="135"/>
      <c r="AV40" s="135">
        <v>14</v>
      </c>
      <c r="AW40" s="135">
        <v>11</v>
      </c>
      <c r="AX40" s="135">
        <v>60</v>
      </c>
      <c r="AY40" s="139">
        <v>65</v>
      </c>
      <c r="AZ40" s="138">
        <v>64</v>
      </c>
      <c r="BA40" s="139">
        <v>86</v>
      </c>
      <c r="BB40" s="135">
        <f t="shared" si="0"/>
        <v>150</v>
      </c>
    </row>
    <row r="41" spans="2:54" ht="15.75" thickBot="1" x14ac:dyDescent="0.3"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42">
        <f>SUM(AZ30:AZ40)</f>
        <v>623</v>
      </c>
      <c r="BA41" s="142">
        <f>SUM(BA30:BA40)</f>
        <v>877</v>
      </c>
      <c r="BB41" s="142">
        <f>SUM(BB30:BB40)</f>
        <v>1500</v>
      </c>
    </row>
    <row r="42" spans="2:54" ht="15.75" thickBot="1" x14ac:dyDescent="0.3"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43">
        <f>AZ41/BB41</f>
        <v>0.41533333333333333</v>
      </c>
      <c r="BA42" s="143">
        <f>BA41/BB41</f>
        <v>0.58466666666666667</v>
      </c>
      <c r="BB42" s="143">
        <f>BB41/BB41</f>
        <v>1</v>
      </c>
    </row>
    <row r="43" spans="2:54" ht="15.75" thickBot="1" x14ac:dyDescent="0.3"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</row>
    <row r="44" spans="2:54" ht="15.75" thickBot="1" x14ac:dyDescent="0.3">
      <c r="B44" s="125"/>
      <c r="C44" s="125"/>
      <c r="D44" s="125"/>
      <c r="E44" s="125"/>
      <c r="F44" s="1328" t="s">
        <v>644</v>
      </c>
      <c r="G44" s="1329"/>
      <c r="H44" s="1329"/>
      <c r="I44" s="1329"/>
      <c r="J44" s="1329"/>
      <c r="K44" s="1329"/>
      <c r="L44" s="1329"/>
      <c r="M44" s="1329"/>
      <c r="N44" s="1329"/>
      <c r="O44" s="1329"/>
      <c r="P44" s="1329"/>
      <c r="Q44" s="1329"/>
      <c r="R44" s="1329"/>
      <c r="S44" s="1329"/>
      <c r="T44" s="1329"/>
      <c r="U44" s="1329"/>
      <c r="V44" s="1330"/>
      <c r="W44" s="1328" t="s">
        <v>645</v>
      </c>
      <c r="X44" s="1329"/>
      <c r="Y44" s="1329"/>
      <c r="Z44" s="1329"/>
      <c r="AA44" s="1329"/>
      <c r="AB44" s="1329"/>
      <c r="AC44" s="1329"/>
      <c r="AD44" s="1329"/>
      <c r="AE44" s="1329"/>
      <c r="AF44" s="1330"/>
      <c r="AG44" s="125"/>
      <c r="AH44" s="125"/>
      <c r="AI44" s="125"/>
      <c r="AJ44" s="125"/>
      <c r="AK44" s="125"/>
      <c r="AL44" s="125"/>
      <c r="AM44" s="125"/>
      <c r="AN44" s="125"/>
      <c r="AO44" s="1328" t="s">
        <v>726</v>
      </c>
      <c r="AP44" s="1329"/>
      <c r="AQ44" s="1329"/>
      <c r="AR44" s="1329"/>
      <c r="AS44" s="1329"/>
      <c r="AT44" s="1329"/>
      <c r="AU44" s="1329"/>
      <c r="AV44" s="1329"/>
      <c r="AW44" s="1329"/>
      <c r="AX44" s="1329"/>
      <c r="AY44" s="1329"/>
      <c r="AZ44" s="1329"/>
      <c r="BA44" s="1329"/>
      <c r="BB44" s="1330"/>
    </row>
    <row r="45" spans="2:54" s="152" customFormat="1" ht="42.75" thickBot="1" x14ac:dyDescent="0.3">
      <c r="B45" s="99" t="s">
        <v>647</v>
      </c>
      <c r="C45" s="99" t="s">
        <v>249</v>
      </c>
      <c r="D45" s="99" t="s">
        <v>725</v>
      </c>
      <c r="E45" s="99" t="s">
        <v>250</v>
      </c>
      <c r="F45" s="153" t="s">
        <v>650</v>
      </c>
      <c r="G45" s="153" t="s">
        <v>651</v>
      </c>
      <c r="H45" s="153" t="s">
        <v>652</v>
      </c>
      <c r="I45" s="153" t="s">
        <v>653</v>
      </c>
      <c r="J45" s="153" t="s">
        <v>654</v>
      </c>
      <c r="K45" s="153" t="s">
        <v>655</v>
      </c>
      <c r="L45" s="153" t="s">
        <v>727</v>
      </c>
      <c r="M45" s="153" t="s">
        <v>728</v>
      </c>
      <c r="N45" s="153" t="s">
        <v>729</v>
      </c>
      <c r="O45" s="153" t="s">
        <v>730</v>
      </c>
      <c r="P45" s="153" t="s">
        <v>731</v>
      </c>
      <c r="Q45" s="153" t="s">
        <v>732</v>
      </c>
      <c r="R45" s="153" t="s">
        <v>733</v>
      </c>
      <c r="S45" s="153" t="s">
        <v>734</v>
      </c>
      <c r="T45" s="153" t="s">
        <v>735</v>
      </c>
      <c r="U45" s="153" t="s">
        <v>736</v>
      </c>
      <c r="V45" s="153" t="s">
        <v>737</v>
      </c>
      <c r="W45" s="153" t="s">
        <v>656</v>
      </c>
      <c r="X45" s="153" t="s">
        <v>657</v>
      </c>
      <c r="Y45" s="153" t="s">
        <v>658</v>
      </c>
      <c r="Z45" s="153" t="s">
        <v>659</v>
      </c>
      <c r="AA45" s="153" t="s">
        <v>660</v>
      </c>
      <c r="AB45" s="153" t="s">
        <v>661</v>
      </c>
      <c r="AC45" s="153" t="s">
        <v>662</v>
      </c>
      <c r="AD45" s="153" t="s">
        <v>663</v>
      </c>
      <c r="AE45" s="153" t="s">
        <v>664</v>
      </c>
      <c r="AF45" s="154" t="s">
        <v>665</v>
      </c>
      <c r="AG45" s="62"/>
      <c r="AH45" s="98" t="s">
        <v>647</v>
      </c>
      <c r="AI45" s="98" t="s">
        <v>249</v>
      </c>
      <c r="AJ45" s="98" t="s">
        <v>250</v>
      </c>
      <c r="AK45" s="98" t="s">
        <v>251</v>
      </c>
      <c r="AL45" s="98" t="s">
        <v>725</v>
      </c>
      <c r="AM45" s="98" t="s">
        <v>670</v>
      </c>
      <c r="AN45" s="151" t="s">
        <v>671</v>
      </c>
      <c r="AO45" s="153" t="s">
        <v>672</v>
      </c>
      <c r="AP45" s="153" t="s">
        <v>673</v>
      </c>
      <c r="AQ45" s="153" t="s">
        <v>674</v>
      </c>
      <c r="AR45" s="153" t="s">
        <v>675</v>
      </c>
      <c r="AS45" s="153" t="s">
        <v>676</v>
      </c>
      <c r="AT45" s="153" t="s">
        <v>677</v>
      </c>
      <c r="AU45" s="153" t="s">
        <v>678</v>
      </c>
      <c r="AV45" s="153" t="s">
        <v>679</v>
      </c>
      <c r="AW45" s="153" t="s">
        <v>680</v>
      </c>
      <c r="AX45" s="153" t="s">
        <v>681</v>
      </c>
      <c r="AY45" s="154" t="s">
        <v>682</v>
      </c>
      <c r="AZ45" s="107" t="s">
        <v>683</v>
      </c>
      <c r="BA45" s="107" t="s">
        <v>684</v>
      </c>
      <c r="BB45" s="107" t="s">
        <v>685</v>
      </c>
    </row>
    <row r="46" spans="2:54" ht="22.5" x14ac:dyDescent="0.25">
      <c r="B46" s="108">
        <v>37214103</v>
      </c>
      <c r="C46" s="116" t="s">
        <v>461</v>
      </c>
      <c r="D46" s="75">
        <v>6</v>
      </c>
      <c r="E46" s="128" t="s">
        <v>710</v>
      </c>
      <c r="F46" s="129"/>
      <c r="G46" s="130"/>
      <c r="H46" s="130"/>
      <c r="I46" s="130" t="s">
        <v>23</v>
      </c>
      <c r="J46" s="130"/>
      <c r="K46" s="130"/>
      <c r="L46" s="130" t="s">
        <v>23</v>
      </c>
      <c r="M46" s="130" t="s">
        <v>23</v>
      </c>
      <c r="N46" s="130"/>
      <c r="O46" s="130"/>
      <c r="P46" s="130"/>
      <c r="Q46" s="130" t="s">
        <v>23</v>
      </c>
      <c r="R46" s="130"/>
      <c r="S46" s="130"/>
      <c r="T46" s="130" t="s">
        <v>23</v>
      </c>
      <c r="U46" s="130"/>
      <c r="V46" s="131"/>
      <c r="W46" s="129"/>
      <c r="X46" s="130"/>
      <c r="Y46" s="130"/>
      <c r="Z46" s="130"/>
      <c r="AA46" s="130" t="s">
        <v>23</v>
      </c>
      <c r="AB46" s="130"/>
      <c r="AC46" s="130"/>
      <c r="AD46" s="130" t="s">
        <v>23</v>
      </c>
      <c r="AE46" s="130"/>
      <c r="AF46" s="131" t="s">
        <v>23</v>
      </c>
      <c r="AG46" s="125"/>
      <c r="AH46" s="108">
        <v>37214103</v>
      </c>
      <c r="AI46" s="116" t="s">
        <v>461</v>
      </c>
      <c r="AJ46" s="79" t="s">
        <v>710</v>
      </c>
      <c r="AK46" s="79" t="s">
        <v>269</v>
      </c>
      <c r="AL46" s="80">
        <v>6</v>
      </c>
      <c r="AM46" s="76" t="s">
        <v>705</v>
      </c>
      <c r="AN46" s="76"/>
      <c r="AO46" s="132"/>
      <c r="AP46" s="133"/>
      <c r="AQ46" s="133"/>
      <c r="AR46" s="133">
        <v>65</v>
      </c>
      <c r="AS46" s="133"/>
      <c r="AT46" s="133"/>
      <c r="AU46" s="133"/>
      <c r="AV46" s="133"/>
      <c r="AW46" s="133">
        <v>33</v>
      </c>
      <c r="AX46" s="133">
        <v>20</v>
      </c>
      <c r="AY46" s="134">
        <v>32</v>
      </c>
      <c r="AZ46" s="132">
        <v>65</v>
      </c>
      <c r="BA46" s="134">
        <v>85</v>
      </c>
      <c r="BB46" s="135">
        <f>SUM(AO46:AY46)</f>
        <v>150</v>
      </c>
    </row>
    <row r="47" spans="2:54" ht="22.5" x14ac:dyDescent="0.25">
      <c r="B47" s="435">
        <v>37214108</v>
      </c>
      <c r="C47" s="430" t="s">
        <v>276</v>
      </c>
      <c r="D47" s="431">
        <v>12</v>
      </c>
      <c r="E47" s="432" t="s">
        <v>710</v>
      </c>
      <c r="F47" s="436"/>
      <c r="G47" s="432"/>
      <c r="H47" s="432"/>
      <c r="I47" s="432"/>
      <c r="J47" s="432"/>
      <c r="K47" s="432"/>
      <c r="L47" s="432"/>
      <c r="M47" s="432"/>
      <c r="N47" s="432"/>
      <c r="O47" s="432"/>
      <c r="P47" s="432"/>
      <c r="Q47" s="432"/>
      <c r="R47" s="432"/>
      <c r="S47" s="432"/>
      <c r="T47" s="432"/>
      <c r="U47" s="432"/>
      <c r="V47" s="437"/>
      <c r="W47" s="436"/>
      <c r="X47" s="432"/>
      <c r="Y47" s="432"/>
      <c r="Z47" s="432"/>
      <c r="AA47" s="432"/>
      <c r="AB47" s="432"/>
      <c r="AC47" s="432"/>
      <c r="AD47" s="432"/>
      <c r="AE47" s="432"/>
      <c r="AF47" s="437"/>
      <c r="AG47" s="438"/>
      <c r="AH47" s="435">
        <v>37214108</v>
      </c>
      <c r="AI47" s="430" t="s">
        <v>276</v>
      </c>
      <c r="AJ47" s="433" t="s">
        <v>710</v>
      </c>
      <c r="AK47" s="79" t="s">
        <v>269</v>
      </c>
      <c r="AL47" s="80">
        <v>12</v>
      </c>
      <c r="AM47" s="81" t="s">
        <v>705</v>
      </c>
      <c r="AN47" s="81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8"/>
      <c r="BA47" s="135"/>
      <c r="BB47" s="135"/>
    </row>
    <row r="48" spans="2:54" x14ac:dyDescent="0.25">
      <c r="B48" s="435"/>
      <c r="C48" s="434" t="s">
        <v>750</v>
      </c>
      <c r="D48" s="431"/>
      <c r="E48" s="432" t="s">
        <v>710</v>
      </c>
      <c r="F48" s="436"/>
      <c r="G48" s="432"/>
      <c r="H48" s="432"/>
      <c r="I48" s="432"/>
      <c r="J48" s="432"/>
      <c r="K48" s="432"/>
      <c r="L48" s="432"/>
      <c r="M48" s="432" t="s">
        <v>23</v>
      </c>
      <c r="N48" s="432"/>
      <c r="O48" s="432"/>
      <c r="P48" s="432"/>
      <c r="Q48" s="432" t="s">
        <v>23</v>
      </c>
      <c r="R48" s="432"/>
      <c r="S48" s="432" t="s">
        <v>23</v>
      </c>
      <c r="T48" s="432" t="s">
        <v>23</v>
      </c>
      <c r="U48" s="432"/>
      <c r="V48" s="437"/>
      <c r="W48" s="436"/>
      <c r="X48" s="432"/>
      <c r="Y48" s="432"/>
      <c r="Z48" s="432"/>
      <c r="AA48" s="432" t="s">
        <v>23</v>
      </c>
      <c r="AB48" s="432"/>
      <c r="AC48" s="432"/>
      <c r="AD48" s="432" t="s">
        <v>23</v>
      </c>
      <c r="AE48" s="432"/>
      <c r="AF48" s="437" t="s">
        <v>23</v>
      </c>
      <c r="AG48" s="438"/>
      <c r="AH48" s="435"/>
      <c r="AI48" s="434" t="s">
        <v>750</v>
      </c>
      <c r="AJ48" s="433" t="s">
        <v>710</v>
      </c>
      <c r="AK48" s="79"/>
      <c r="AL48" s="80"/>
      <c r="AM48" s="81" t="s">
        <v>705</v>
      </c>
      <c r="AN48" s="81"/>
      <c r="AO48" s="138"/>
      <c r="AP48" s="135"/>
      <c r="AQ48" s="135"/>
      <c r="AR48" s="135">
        <v>56</v>
      </c>
      <c r="AS48" s="135"/>
      <c r="AT48" s="135">
        <v>29</v>
      </c>
      <c r="AU48" s="135">
        <v>6</v>
      </c>
      <c r="AV48" s="135"/>
      <c r="AW48" s="135"/>
      <c r="AX48" s="135">
        <v>10</v>
      </c>
      <c r="AY48" s="139">
        <v>49</v>
      </c>
      <c r="AZ48" s="138">
        <v>64</v>
      </c>
      <c r="BA48" s="139">
        <v>86</v>
      </c>
      <c r="BB48" s="135">
        <f t="shared" ref="BB48:BB56" si="1">SUM(AO48:AY48)</f>
        <v>150</v>
      </c>
    </row>
    <row r="49" spans="2:54" x14ac:dyDescent="0.25">
      <c r="B49" s="435"/>
      <c r="C49" s="434" t="s">
        <v>751</v>
      </c>
      <c r="D49" s="431"/>
      <c r="E49" s="432" t="s">
        <v>710</v>
      </c>
      <c r="F49" s="436"/>
      <c r="G49" s="432"/>
      <c r="H49" s="432"/>
      <c r="I49" s="432"/>
      <c r="J49" s="432"/>
      <c r="K49" s="432"/>
      <c r="L49" s="432" t="s">
        <v>23</v>
      </c>
      <c r="M49" s="432"/>
      <c r="N49" s="432"/>
      <c r="O49" s="432"/>
      <c r="P49" s="432"/>
      <c r="Q49" s="432"/>
      <c r="R49" s="432"/>
      <c r="S49" s="432"/>
      <c r="T49" s="432" t="s">
        <v>23</v>
      </c>
      <c r="U49" s="432" t="s">
        <v>23</v>
      </c>
      <c r="V49" s="437" t="s">
        <v>23</v>
      </c>
      <c r="W49" s="436"/>
      <c r="X49" s="432"/>
      <c r="Y49" s="432"/>
      <c r="Z49" s="432"/>
      <c r="AA49" s="432"/>
      <c r="AB49" s="432" t="s">
        <v>23</v>
      </c>
      <c r="AC49" s="432"/>
      <c r="AD49" s="432" t="s">
        <v>23</v>
      </c>
      <c r="AE49" s="432"/>
      <c r="AF49" s="437" t="s">
        <v>23</v>
      </c>
      <c r="AG49" s="438"/>
      <c r="AH49" s="435"/>
      <c r="AI49" s="434" t="s">
        <v>751</v>
      </c>
      <c r="AJ49" s="433" t="s">
        <v>710</v>
      </c>
      <c r="AK49" s="79"/>
      <c r="AL49" s="80"/>
      <c r="AM49" s="81" t="s">
        <v>705</v>
      </c>
      <c r="AN49" s="81"/>
      <c r="AO49" s="138"/>
      <c r="AP49" s="135"/>
      <c r="AQ49" s="135"/>
      <c r="AR49" s="135">
        <v>36</v>
      </c>
      <c r="AS49" s="135">
        <v>48</v>
      </c>
      <c r="AT49" s="135"/>
      <c r="AU49" s="135"/>
      <c r="AV49" s="135"/>
      <c r="AW49" s="135"/>
      <c r="AX49" s="135"/>
      <c r="AY49" s="139">
        <v>66</v>
      </c>
      <c r="AZ49" s="138">
        <v>60</v>
      </c>
      <c r="BA49" s="139">
        <v>90</v>
      </c>
      <c r="BB49" s="135">
        <f t="shared" si="1"/>
        <v>150</v>
      </c>
    </row>
    <row r="50" spans="2:54" ht="22.5" x14ac:dyDescent="0.25">
      <c r="B50" s="435">
        <v>37214110</v>
      </c>
      <c r="C50" s="430" t="s">
        <v>462</v>
      </c>
      <c r="D50" s="431">
        <v>6</v>
      </c>
      <c r="E50" s="432" t="s">
        <v>710</v>
      </c>
      <c r="F50" s="436"/>
      <c r="G50" s="432"/>
      <c r="H50" s="432"/>
      <c r="I50" s="432"/>
      <c r="J50" s="432"/>
      <c r="K50" s="432"/>
      <c r="L50" s="432"/>
      <c r="M50" s="432"/>
      <c r="N50" s="432"/>
      <c r="O50" s="432"/>
      <c r="P50" s="432"/>
      <c r="Q50" s="432" t="s">
        <v>23</v>
      </c>
      <c r="R50" s="432"/>
      <c r="S50" s="432"/>
      <c r="T50" s="432" t="s">
        <v>23</v>
      </c>
      <c r="U50" s="432"/>
      <c r="V50" s="437" t="s">
        <v>23</v>
      </c>
      <c r="W50" s="436"/>
      <c r="X50" s="432"/>
      <c r="Y50" s="432"/>
      <c r="Z50" s="432"/>
      <c r="AA50" s="432"/>
      <c r="AB50" s="432" t="s">
        <v>23</v>
      </c>
      <c r="AC50" s="432"/>
      <c r="AD50" s="432" t="s">
        <v>23</v>
      </c>
      <c r="AE50" s="432"/>
      <c r="AF50" s="437" t="s">
        <v>23</v>
      </c>
      <c r="AG50" s="438"/>
      <c r="AH50" s="435">
        <v>37214110</v>
      </c>
      <c r="AI50" s="430" t="s">
        <v>462</v>
      </c>
      <c r="AJ50" s="433" t="s">
        <v>710</v>
      </c>
      <c r="AK50" s="79" t="s">
        <v>269</v>
      </c>
      <c r="AL50" s="80">
        <v>6</v>
      </c>
      <c r="AM50" s="81" t="s">
        <v>705</v>
      </c>
      <c r="AN50" s="81"/>
      <c r="AO50" s="138"/>
      <c r="AP50" s="135"/>
      <c r="AQ50" s="135"/>
      <c r="AR50" s="135">
        <v>39</v>
      </c>
      <c r="AS50" s="135"/>
      <c r="AT50" s="135"/>
      <c r="AU50" s="135">
        <v>33</v>
      </c>
      <c r="AV50" s="135"/>
      <c r="AW50" s="135"/>
      <c r="AX50" s="135">
        <v>32</v>
      </c>
      <c r="AY50" s="139">
        <v>46</v>
      </c>
      <c r="AZ50" s="138">
        <v>60</v>
      </c>
      <c r="BA50" s="139">
        <v>90</v>
      </c>
      <c r="BB50" s="135">
        <f t="shared" si="1"/>
        <v>150</v>
      </c>
    </row>
    <row r="51" spans="2:54" ht="33" x14ac:dyDescent="0.25">
      <c r="B51" s="435">
        <v>37214112</v>
      </c>
      <c r="C51" s="430" t="s">
        <v>463</v>
      </c>
      <c r="D51" s="431">
        <v>6</v>
      </c>
      <c r="E51" s="432" t="s">
        <v>710</v>
      </c>
      <c r="F51" s="436"/>
      <c r="G51" s="432"/>
      <c r="H51" s="432"/>
      <c r="I51" s="432"/>
      <c r="J51" s="432"/>
      <c r="K51" s="432"/>
      <c r="L51" s="432"/>
      <c r="M51" s="432"/>
      <c r="N51" s="432"/>
      <c r="O51" s="432"/>
      <c r="P51" s="432"/>
      <c r="Q51" s="432" t="s">
        <v>23</v>
      </c>
      <c r="R51" s="432"/>
      <c r="S51" s="432"/>
      <c r="T51" s="432" t="s">
        <v>23</v>
      </c>
      <c r="U51" s="432"/>
      <c r="V51" s="437" t="s">
        <v>23</v>
      </c>
      <c r="W51" s="436"/>
      <c r="X51" s="432"/>
      <c r="Y51" s="432"/>
      <c r="Z51" s="432"/>
      <c r="AA51" s="432"/>
      <c r="AB51" s="432" t="s">
        <v>23</v>
      </c>
      <c r="AC51" s="432" t="s">
        <v>23</v>
      </c>
      <c r="AD51" s="432"/>
      <c r="AE51" s="432"/>
      <c r="AF51" s="437" t="s">
        <v>23</v>
      </c>
      <c r="AG51" s="438"/>
      <c r="AH51" s="435">
        <v>37214112</v>
      </c>
      <c r="AI51" s="430" t="s">
        <v>463</v>
      </c>
      <c r="AJ51" s="433" t="s">
        <v>710</v>
      </c>
      <c r="AK51" s="79" t="s">
        <v>269</v>
      </c>
      <c r="AL51" s="80">
        <v>6</v>
      </c>
      <c r="AM51" s="81" t="s">
        <v>705</v>
      </c>
      <c r="AN51" s="81"/>
      <c r="AO51" s="138">
        <v>10</v>
      </c>
      <c r="AP51" s="135"/>
      <c r="AQ51" s="135"/>
      <c r="AR51" s="135">
        <v>35</v>
      </c>
      <c r="AS51" s="135">
        <v>27</v>
      </c>
      <c r="AT51" s="135"/>
      <c r="AU51" s="135">
        <v>33</v>
      </c>
      <c r="AV51" s="135"/>
      <c r="AW51" s="135"/>
      <c r="AX51" s="135"/>
      <c r="AY51" s="139">
        <v>45</v>
      </c>
      <c r="AZ51" s="138">
        <v>60</v>
      </c>
      <c r="BA51" s="139">
        <v>90</v>
      </c>
      <c r="BB51" s="135">
        <f t="shared" si="1"/>
        <v>150</v>
      </c>
    </row>
    <row r="52" spans="2:54" x14ac:dyDescent="0.25">
      <c r="B52" s="113">
        <v>37214114</v>
      </c>
      <c r="C52" s="116" t="s">
        <v>280</v>
      </c>
      <c r="D52" s="80">
        <v>6</v>
      </c>
      <c r="E52" s="128" t="s">
        <v>710</v>
      </c>
      <c r="F52" s="136" t="s">
        <v>23</v>
      </c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 t="s">
        <v>23</v>
      </c>
      <c r="R52" s="128"/>
      <c r="S52" s="128"/>
      <c r="T52" s="128" t="s">
        <v>23</v>
      </c>
      <c r="U52" s="128" t="s">
        <v>23</v>
      </c>
      <c r="V52" s="137" t="s">
        <v>23</v>
      </c>
      <c r="W52" s="136"/>
      <c r="X52" s="128"/>
      <c r="Y52" s="128"/>
      <c r="Z52" s="128"/>
      <c r="AA52" s="128" t="s">
        <v>23</v>
      </c>
      <c r="AB52" s="128"/>
      <c r="AC52" s="128"/>
      <c r="AD52" s="128"/>
      <c r="AE52" s="128"/>
      <c r="AF52" s="137"/>
      <c r="AG52" s="125"/>
      <c r="AH52" s="113">
        <v>37214114</v>
      </c>
      <c r="AI52" s="116" t="s">
        <v>280</v>
      </c>
      <c r="AJ52" s="79" t="s">
        <v>710</v>
      </c>
      <c r="AK52" s="79" t="s">
        <v>269</v>
      </c>
      <c r="AL52" s="80">
        <v>6</v>
      </c>
      <c r="AM52" s="81" t="s">
        <v>705</v>
      </c>
      <c r="AN52" s="81"/>
      <c r="AO52" s="138">
        <v>39</v>
      </c>
      <c r="AP52" s="135"/>
      <c r="AQ52" s="135"/>
      <c r="AR52" s="135"/>
      <c r="AS52" s="135"/>
      <c r="AT52" s="135">
        <v>10</v>
      </c>
      <c r="AU52" s="135">
        <v>9</v>
      </c>
      <c r="AV52" s="135"/>
      <c r="AW52" s="135">
        <v>30</v>
      </c>
      <c r="AX52" s="135">
        <v>62</v>
      </c>
      <c r="AY52" s="139"/>
      <c r="AZ52" s="138">
        <v>60</v>
      </c>
      <c r="BA52" s="139">
        <v>90</v>
      </c>
      <c r="BB52" s="135">
        <f t="shared" si="1"/>
        <v>150</v>
      </c>
    </row>
    <row r="53" spans="2:54" ht="33" x14ac:dyDescent="0.25">
      <c r="B53" s="113">
        <v>37214113</v>
      </c>
      <c r="C53" s="116" t="s">
        <v>464</v>
      </c>
      <c r="D53" s="80">
        <v>6</v>
      </c>
      <c r="E53" s="128" t="s">
        <v>710</v>
      </c>
      <c r="F53" s="136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 t="s">
        <v>23</v>
      </c>
      <c r="R53" s="128"/>
      <c r="S53" s="128"/>
      <c r="T53" s="128" t="s">
        <v>23</v>
      </c>
      <c r="U53" s="128"/>
      <c r="V53" s="137" t="s">
        <v>23</v>
      </c>
      <c r="W53" s="136"/>
      <c r="X53" s="128"/>
      <c r="Y53" s="128"/>
      <c r="Z53" s="128"/>
      <c r="AA53" s="128"/>
      <c r="AB53" s="128" t="s">
        <v>23</v>
      </c>
      <c r="AC53" s="128"/>
      <c r="AD53" s="128"/>
      <c r="AE53" s="128"/>
      <c r="AF53" s="137" t="s">
        <v>23</v>
      </c>
      <c r="AG53" s="125"/>
      <c r="AH53" s="113">
        <v>37214113</v>
      </c>
      <c r="AI53" s="116" t="s">
        <v>464</v>
      </c>
      <c r="AJ53" s="79" t="s">
        <v>710</v>
      </c>
      <c r="AK53" s="79" t="s">
        <v>269</v>
      </c>
      <c r="AL53" s="80">
        <v>6</v>
      </c>
      <c r="AM53" s="81" t="s">
        <v>693</v>
      </c>
      <c r="AN53" s="81"/>
      <c r="AO53" s="138"/>
      <c r="AP53" s="135"/>
      <c r="AQ53" s="135"/>
      <c r="AR53" s="135">
        <v>35</v>
      </c>
      <c r="AS53" s="135">
        <v>27</v>
      </c>
      <c r="AT53" s="135"/>
      <c r="AU53" s="135">
        <v>33</v>
      </c>
      <c r="AV53" s="135"/>
      <c r="AW53" s="135"/>
      <c r="AX53" s="135"/>
      <c r="AY53" s="139">
        <v>55</v>
      </c>
      <c r="AZ53" s="138">
        <v>60</v>
      </c>
      <c r="BA53" s="139">
        <v>90</v>
      </c>
      <c r="BB53" s="135">
        <f t="shared" si="1"/>
        <v>150</v>
      </c>
    </row>
    <row r="54" spans="2:54" ht="33" x14ac:dyDescent="0.25">
      <c r="B54" s="113">
        <v>37214117</v>
      </c>
      <c r="C54" s="116" t="s">
        <v>283</v>
      </c>
      <c r="D54" s="80">
        <v>6</v>
      </c>
      <c r="E54" s="128" t="s">
        <v>710</v>
      </c>
      <c r="F54" s="136"/>
      <c r="G54" s="128"/>
      <c r="H54" s="128"/>
      <c r="I54" s="128"/>
      <c r="J54" s="128"/>
      <c r="K54" s="128"/>
      <c r="L54" s="128"/>
      <c r="M54" s="128"/>
      <c r="N54" s="128" t="s">
        <v>23</v>
      </c>
      <c r="O54" s="128"/>
      <c r="P54" s="128"/>
      <c r="Q54" s="128"/>
      <c r="R54" s="128"/>
      <c r="S54" s="128" t="s">
        <v>23</v>
      </c>
      <c r="T54" s="128" t="s">
        <v>23</v>
      </c>
      <c r="U54" s="128"/>
      <c r="V54" s="137"/>
      <c r="W54" s="136"/>
      <c r="X54" s="128"/>
      <c r="Y54" s="128"/>
      <c r="Z54" s="128"/>
      <c r="AA54" s="128" t="s">
        <v>23</v>
      </c>
      <c r="AB54" s="128"/>
      <c r="AC54" s="128"/>
      <c r="AD54" s="128"/>
      <c r="AE54" s="128"/>
      <c r="AF54" s="137" t="s">
        <v>23</v>
      </c>
      <c r="AG54" s="125"/>
      <c r="AH54" s="113">
        <v>37214117</v>
      </c>
      <c r="AI54" s="116" t="s">
        <v>283</v>
      </c>
      <c r="AJ54" s="79" t="s">
        <v>710</v>
      </c>
      <c r="AK54" s="79" t="s">
        <v>269</v>
      </c>
      <c r="AL54" s="80">
        <v>6</v>
      </c>
      <c r="AM54" s="81" t="s">
        <v>693</v>
      </c>
      <c r="AN54" s="81"/>
      <c r="AO54" s="138"/>
      <c r="AP54" s="135"/>
      <c r="AQ54" s="135"/>
      <c r="AR54" s="135"/>
      <c r="AS54" s="135">
        <v>23</v>
      </c>
      <c r="AT54" s="135"/>
      <c r="AU54" s="135">
        <v>23</v>
      </c>
      <c r="AV54" s="135"/>
      <c r="AW54" s="135"/>
      <c r="AX54" s="135">
        <v>52</v>
      </c>
      <c r="AY54" s="139">
        <v>52</v>
      </c>
      <c r="AZ54" s="138">
        <v>60</v>
      </c>
      <c r="BA54" s="139">
        <v>90</v>
      </c>
      <c r="BB54" s="135">
        <f t="shared" si="1"/>
        <v>150</v>
      </c>
    </row>
    <row r="55" spans="2:54" ht="22.5" x14ac:dyDescent="0.25">
      <c r="B55" s="113">
        <v>37214118</v>
      </c>
      <c r="C55" s="116" t="s">
        <v>284</v>
      </c>
      <c r="D55" s="80">
        <v>6</v>
      </c>
      <c r="E55" s="128" t="s">
        <v>710</v>
      </c>
      <c r="F55" s="136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 t="s">
        <v>23</v>
      </c>
      <c r="R55" s="128"/>
      <c r="S55" s="128"/>
      <c r="T55" s="128" t="s">
        <v>23</v>
      </c>
      <c r="U55" s="128" t="s">
        <v>23</v>
      </c>
      <c r="V55" s="137"/>
      <c r="W55" s="136"/>
      <c r="X55" s="128"/>
      <c r="Y55" s="128"/>
      <c r="Z55" s="128"/>
      <c r="AA55" s="128" t="s">
        <v>23</v>
      </c>
      <c r="AB55" s="128"/>
      <c r="AC55" s="128"/>
      <c r="AD55" s="128"/>
      <c r="AE55" s="128"/>
      <c r="AF55" s="137" t="s">
        <v>23</v>
      </c>
      <c r="AG55" s="125"/>
      <c r="AH55" s="113">
        <v>37214118</v>
      </c>
      <c r="AI55" s="116" t="s">
        <v>284</v>
      </c>
      <c r="AJ55" s="79" t="s">
        <v>710</v>
      </c>
      <c r="AK55" s="79" t="s">
        <v>269</v>
      </c>
      <c r="AL55" s="80">
        <v>6</v>
      </c>
      <c r="AM55" s="81" t="s">
        <v>705</v>
      </c>
      <c r="AN55" s="81"/>
      <c r="AO55" s="138"/>
      <c r="AP55" s="135"/>
      <c r="AQ55" s="135">
        <v>23</v>
      </c>
      <c r="AR55" s="135"/>
      <c r="AS55" s="135"/>
      <c r="AT55" s="135"/>
      <c r="AU55" s="135"/>
      <c r="AV55" s="135"/>
      <c r="AW55" s="135">
        <v>40</v>
      </c>
      <c r="AX55" s="135"/>
      <c r="AY55" s="139">
        <v>87</v>
      </c>
      <c r="AZ55" s="138">
        <v>60</v>
      </c>
      <c r="BA55" s="139">
        <v>90</v>
      </c>
      <c r="BB55" s="135">
        <f t="shared" si="1"/>
        <v>150</v>
      </c>
    </row>
    <row r="56" spans="2:54" ht="54.75" thickBot="1" x14ac:dyDescent="0.3">
      <c r="B56" s="113">
        <v>37214121</v>
      </c>
      <c r="C56" s="116" t="s">
        <v>465</v>
      </c>
      <c r="D56" s="80">
        <v>6</v>
      </c>
      <c r="E56" s="128" t="s">
        <v>710</v>
      </c>
      <c r="F56" s="136"/>
      <c r="G56" s="128"/>
      <c r="H56" s="128"/>
      <c r="I56" s="128"/>
      <c r="J56" s="128"/>
      <c r="K56" s="128"/>
      <c r="L56" s="128"/>
      <c r="M56" s="128"/>
      <c r="N56" s="128" t="s">
        <v>23</v>
      </c>
      <c r="O56" s="128"/>
      <c r="P56" s="128"/>
      <c r="Q56" s="128"/>
      <c r="R56" s="128"/>
      <c r="S56" s="128" t="s">
        <v>23</v>
      </c>
      <c r="T56" s="128"/>
      <c r="U56" s="128" t="s">
        <v>23</v>
      </c>
      <c r="V56" s="137" t="s">
        <v>23</v>
      </c>
      <c r="W56" s="136"/>
      <c r="X56" s="128"/>
      <c r="Y56" s="128"/>
      <c r="Z56" s="128"/>
      <c r="AA56" s="128" t="s">
        <v>23</v>
      </c>
      <c r="AB56" s="128"/>
      <c r="AC56" s="128"/>
      <c r="AD56" s="128" t="s">
        <v>23</v>
      </c>
      <c r="AE56" s="128"/>
      <c r="AF56" s="137" t="s">
        <v>23</v>
      </c>
      <c r="AG56" s="125"/>
      <c r="AH56" s="113">
        <v>37214121</v>
      </c>
      <c r="AI56" s="116" t="s">
        <v>465</v>
      </c>
      <c r="AJ56" s="79" t="s">
        <v>710</v>
      </c>
      <c r="AK56" s="79" t="s">
        <v>269</v>
      </c>
      <c r="AL56" s="80">
        <v>6</v>
      </c>
      <c r="AM56" s="81" t="s">
        <v>693</v>
      </c>
      <c r="AN56" s="81"/>
      <c r="AO56" s="138">
        <v>10</v>
      </c>
      <c r="AP56" s="135"/>
      <c r="AQ56" s="135"/>
      <c r="AR56" s="135">
        <v>30</v>
      </c>
      <c r="AS56" s="135">
        <v>21</v>
      </c>
      <c r="AT56" s="135">
        <v>6</v>
      </c>
      <c r="AU56" s="135">
        <v>5</v>
      </c>
      <c r="AV56" s="135"/>
      <c r="AW56" s="135">
        <v>21</v>
      </c>
      <c r="AX56" s="135">
        <v>21</v>
      </c>
      <c r="AY56" s="139">
        <v>36</v>
      </c>
      <c r="AZ56" s="138">
        <v>60</v>
      </c>
      <c r="BA56" s="139">
        <v>90</v>
      </c>
      <c r="BB56" s="135">
        <f t="shared" si="1"/>
        <v>150</v>
      </c>
    </row>
    <row r="57" spans="2:54" ht="15.75" thickBot="1" x14ac:dyDescent="0.3"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42">
        <f>SUM(AZ46:AZ56)</f>
        <v>609</v>
      </c>
      <c r="BA57" s="142">
        <f>SUM(BA46:BA56)</f>
        <v>891</v>
      </c>
      <c r="BB57" s="142">
        <f>SUM(BB46:BB56)</f>
        <v>1500</v>
      </c>
    </row>
    <row r="58" spans="2:54" ht="15.75" thickBot="1" x14ac:dyDescent="0.3"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43">
        <f>AZ57/BB57</f>
        <v>0.40600000000000003</v>
      </c>
      <c r="BA58" s="143">
        <f>BA57/BB57</f>
        <v>0.59399999999999997</v>
      </c>
      <c r="BB58" s="143">
        <f>BB57/BB57</f>
        <v>1</v>
      </c>
    </row>
    <row r="59" spans="2:54" x14ac:dyDescent="0.25"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</row>
    <row r="60" spans="2:54" ht="15.75" thickBot="1" x14ac:dyDescent="0.3">
      <c r="B60" s="125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</row>
    <row r="61" spans="2:54" ht="15.75" thickBot="1" x14ac:dyDescent="0.3">
      <c r="B61" s="125"/>
      <c r="C61" s="125"/>
      <c r="D61" s="125"/>
      <c r="E61" s="125"/>
      <c r="F61" s="1328" t="s">
        <v>644</v>
      </c>
      <c r="G61" s="1329"/>
      <c r="H61" s="1329"/>
      <c r="I61" s="1329"/>
      <c r="J61" s="1329"/>
      <c r="K61" s="1329"/>
      <c r="L61" s="1329"/>
      <c r="M61" s="1329"/>
      <c r="N61" s="1329"/>
      <c r="O61" s="1329"/>
      <c r="P61" s="1329"/>
      <c r="Q61" s="1329"/>
      <c r="R61" s="1329"/>
      <c r="S61" s="1329"/>
      <c r="T61" s="1329"/>
      <c r="U61" s="1329"/>
      <c r="V61" s="1330"/>
      <c r="W61" s="1328" t="s">
        <v>645</v>
      </c>
      <c r="X61" s="1329"/>
      <c r="Y61" s="1329"/>
      <c r="Z61" s="1329"/>
      <c r="AA61" s="1329"/>
      <c r="AB61" s="1329"/>
      <c r="AC61" s="1329"/>
      <c r="AD61" s="1329"/>
      <c r="AE61" s="1329"/>
      <c r="AF61" s="1330"/>
      <c r="AG61" s="125"/>
      <c r="AH61" s="125"/>
      <c r="AI61" s="125"/>
      <c r="AJ61" s="125"/>
      <c r="AK61" s="125"/>
      <c r="AL61" s="125"/>
      <c r="AM61" s="125"/>
      <c r="AN61" s="125"/>
      <c r="AO61" s="1331" t="s">
        <v>726</v>
      </c>
      <c r="AP61" s="1332"/>
      <c r="AQ61" s="1332"/>
      <c r="AR61" s="1332"/>
      <c r="AS61" s="1332"/>
      <c r="AT61" s="1332"/>
      <c r="AU61" s="1332"/>
      <c r="AV61" s="1332"/>
      <c r="AW61" s="1332"/>
      <c r="AX61" s="1332"/>
      <c r="AY61" s="1332"/>
      <c r="AZ61" s="1332"/>
      <c r="BA61" s="1332"/>
      <c r="BB61" s="1333"/>
    </row>
    <row r="62" spans="2:54" ht="44.25" thickBot="1" x14ac:dyDescent="0.3">
      <c r="B62" s="99" t="s">
        <v>647</v>
      </c>
      <c r="C62" s="99" t="s">
        <v>249</v>
      </c>
      <c r="D62" s="99" t="s">
        <v>725</v>
      </c>
      <c r="E62" s="99" t="s">
        <v>250</v>
      </c>
      <c r="F62" s="126" t="s">
        <v>650</v>
      </c>
      <c r="G62" s="126" t="s">
        <v>651</v>
      </c>
      <c r="H62" s="126" t="s">
        <v>652</v>
      </c>
      <c r="I62" s="126" t="s">
        <v>653</v>
      </c>
      <c r="J62" s="126" t="s">
        <v>654</v>
      </c>
      <c r="K62" s="126" t="s">
        <v>655</v>
      </c>
      <c r="L62" s="126" t="s">
        <v>727</v>
      </c>
      <c r="M62" s="126" t="s">
        <v>728</v>
      </c>
      <c r="N62" s="126" t="s">
        <v>729</v>
      </c>
      <c r="O62" s="126" t="s">
        <v>730</v>
      </c>
      <c r="P62" s="126" t="s">
        <v>731</v>
      </c>
      <c r="Q62" s="126" t="s">
        <v>732</v>
      </c>
      <c r="R62" s="126" t="s">
        <v>733</v>
      </c>
      <c r="S62" s="126" t="s">
        <v>734</v>
      </c>
      <c r="T62" s="126" t="s">
        <v>735</v>
      </c>
      <c r="U62" s="126" t="s">
        <v>736</v>
      </c>
      <c r="V62" s="126" t="s">
        <v>737</v>
      </c>
      <c r="W62" s="126" t="s">
        <v>656</v>
      </c>
      <c r="X62" s="126" t="s">
        <v>657</v>
      </c>
      <c r="Y62" s="126" t="s">
        <v>658</v>
      </c>
      <c r="Z62" s="126" t="s">
        <v>659</v>
      </c>
      <c r="AA62" s="126" t="s">
        <v>660</v>
      </c>
      <c r="AB62" s="126" t="s">
        <v>661</v>
      </c>
      <c r="AC62" s="126" t="s">
        <v>662</v>
      </c>
      <c r="AD62" s="126" t="s">
        <v>663</v>
      </c>
      <c r="AE62" s="126" t="s">
        <v>664</v>
      </c>
      <c r="AF62" s="127" t="s">
        <v>665</v>
      </c>
      <c r="AG62" s="125"/>
      <c r="AH62" s="119" t="s">
        <v>647</v>
      </c>
      <c r="AI62" s="119" t="s">
        <v>249</v>
      </c>
      <c r="AJ62" s="119" t="s">
        <v>649</v>
      </c>
      <c r="AK62" s="119" t="s">
        <v>251</v>
      </c>
      <c r="AL62" s="119" t="s">
        <v>648</v>
      </c>
      <c r="AM62" s="119" t="s">
        <v>670</v>
      </c>
      <c r="AN62" s="119" t="s">
        <v>671</v>
      </c>
      <c r="AO62" s="146" t="s">
        <v>672</v>
      </c>
      <c r="AP62" s="146" t="s">
        <v>673</v>
      </c>
      <c r="AQ62" s="146" t="s">
        <v>674</v>
      </c>
      <c r="AR62" s="146" t="s">
        <v>675</v>
      </c>
      <c r="AS62" s="146" t="s">
        <v>676</v>
      </c>
      <c r="AT62" s="146" t="s">
        <v>677</v>
      </c>
      <c r="AU62" s="146" t="s">
        <v>678</v>
      </c>
      <c r="AV62" s="146" t="s">
        <v>679</v>
      </c>
      <c r="AW62" s="146" t="s">
        <v>680</v>
      </c>
      <c r="AX62" s="146" t="s">
        <v>681</v>
      </c>
      <c r="AY62" s="146" t="s">
        <v>682</v>
      </c>
      <c r="AZ62" s="120" t="s">
        <v>683</v>
      </c>
      <c r="BA62" s="120" t="s">
        <v>684</v>
      </c>
      <c r="BB62" s="120" t="s">
        <v>685</v>
      </c>
    </row>
    <row r="63" spans="2:54" ht="22.5" x14ac:dyDescent="0.25">
      <c r="B63" s="108">
        <v>37214111</v>
      </c>
      <c r="C63" s="116" t="s">
        <v>752</v>
      </c>
      <c r="D63" s="75">
        <v>6</v>
      </c>
      <c r="E63" s="128" t="s">
        <v>712</v>
      </c>
      <c r="F63" s="129"/>
      <c r="G63" s="130"/>
      <c r="H63" s="130"/>
      <c r="I63" s="130"/>
      <c r="J63" s="130" t="s">
        <v>23</v>
      </c>
      <c r="K63" s="130"/>
      <c r="L63" s="130"/>
      <c r="M63" s="130"/>
      <c r="N63" s="130"/>
      <c r="O63" s="130"/>
      <c r="P63" s="130"/>
      <c r="Q63" s="130"/>
      <c r="R63" s="130"/>
      <c r="S63" s="130" t="s">
        <v>23</v>
      </c>
      <c r="T63" s="130" t="s">
        <v>23</v>
      </c>
      <c r="U63" s="130"/>
      <c r="V63" s="131" t="s">
        <v>23</v>
      </c>
      <c r="W63" s="129"/>
      <c r="X63" s="130"/>
      <c r="Y63" s="130"/>
      <c r="Z63" s="130"/>
      <c r="AA63" s="130"/>
      <c r="AB63" s="130"/>
      <c r="AC63" s="130" t="s">
        <v>23</v>
      </c>
      <c r="AD63" s="130" t="s">
        <v>23</v>
      </c>
      <c r="AE63" s="130"/>
      <c r="AF63" s="131" t="s">
        <v>23</v>
      </c>
      <c r="AG63" s="125"/>
      <c r="AH63" s="117">
        <v>37214111</v>
      </c>
      <c r="AI63" s="116" t="s">
        <v>752</v>
      </c>
      <c r="AJ63" s="128" t="s">
        <v>712</v>
      </c>
      <c r="AK63" s="79" t="s">
        <v>269</v>
      </c>
      <c r="AL63" s="80">
        <v>6</v>
      </c>
      <c r="AM63" s="80" t="s">
        <v>705</v>
      </c>
      <c r="AN63" s="80"/>
      <c r="AO63" s="135">
        <v>10</v>
      </c>
      <c r="AP63" s="135"/>
      <c r="AQ63" s="135"/>
      <c r="AR63" s="135">
        <v>10</v>
      </c>
      <c r="AS63" s="135">
        <v>20</v>
      </c>
      <c r="AT63" s="135">
        <v>12</v>
      </c>
      <c r="AU63" s="135">
        <v>12</v>
      </c>
      <c r="AV63" s="135"/>
      <c r="AW63" s="135"/>
      <c r="AX63" s="135">
        <v>30</v>
      </c>
      <c r="AY63" s="135">
        <v>56</v>
      </c>
      <c r="AZ63" s="135">
        <v>64</v>
      </c>
      <c r="BA63" s="135">
        <v>86</v>
      </c>
      <c r="BB63" s="135">
        <f t="shared" ref="BB63:BB69" si="2">SUM(AO63:AY63)</f>
        <v>150</v>
      </c>
    </row>
    <row r="64" spans="2:54" ht="22.5" x14ac:dyDescent="0.25">
      <c r="B64" s="113">
        <v>37214115</v>
      </c>
      <c r="C64" s="116" t="s">
        <v>282</v>
      </c>
      <c r="D64" s="80">
        <v>6</v>
      </c>
      <c r="E64" s="128" t="s">
        <v>712</v>
      </c>
      <c r="F64" s="136"/>
      <c r="G64" s="128" t="s">
        <v>23</v>
      </c>
      <c r="H64" s="128"/>
      <c r="I64" s="128"/>
      <c r="J64" s="128"/>
      <c r="K64" s="128"/>
      <c r="L64" s="128"/>
      <c r="M64" s="128"/>
      <c r="N64" s="128" t="s">
        <v>23</v>
      </c>
      <c r="O64" s="128"/>
      <c r="P64" s="128"/>
      <c r="Q64" s="128" t="s">
        <v>23</v>
      </c>
      <c r="R64" s="128"/>
      <c r="S64" s="128" t="s">
        <v>23</v>
      </c>
      <c r="T64" s="128" t="s">
        <v>23</v>
      </c>
      <c r="U64" s="128"/>
      <c r="V64" s="137" t="s">
        <v>23</v>
      </c>
      <c r="W64" s="136"/>
      <c r="X64" s="128"/>
      <c r="Y64" s="128"/>
      <c r="Z64" s="128"/>
      <c r="AA64" s="128" t="s">
        <v>23</v>
      </c>
      <c r="AB64" s="128"/>
      <c r="AC64" s="128"/>
      <c r="AD64" s="128"/>
      <c r="AE64" s="128"/>
      <c r="AF64" s="137" t="s">
        <v>23</v>
      </c>
      <c r="AG64" s="125"/>
      <c r="AH64" s="117">
        <v>37214115</v>
      </c>
      <c r="AI64" s="116" t="s">
        <v>282</v>
      </c>
      <c r="AJ64" s="128" t="s">
        <v>712</v>
      </c>
      <c r="AK64" s="79" t="s">
        <v>269</v>
      </c>
      <c r="AL64" s="80">
        <v>6</v>
      </c>
      <c r="AM64" s="80" t="s">
        <v>705</v>
      </c>
      <c r="AN64" s="80"/>
      <c r="AO64" s="135"/>
      <c r="AP64" s="135"/>
      <c r="AQ64" s="135"/>
      <c r="AR64" s="135">
        <v>22</v>
      </c>
      <c r="AS64" s="135"/>
      <c r="AT64" s="135"/>
      <c r="AU64" s="135">
        <v>33</v>
      </c>
      <c r="AV64" s="135"/>
      <c r="AW64" s="135">
        <v>32</v>
      </c>
      <c r="AX64" s="135">
        <v>33</v>
      </c>
      <c r="AY64" s="135">
        <v>30</v>
      </c>
      <c r="AZ64" s="135">
        <v>60</v>
      </c>
      <c r="BA64" s="135">
        <v>90</v>
      </c>
      <c r="BB64" s="135">
        <f t="shared" si="2"/>
        <v>150</v>
      </c>
    </row>
    <row r="65" spans="2:54" ht="22.5" x14ac:dyDescent="0.25">
      <c r="B65" s="113">
        <v>37214119</v>
      </c>
      <c r="C65" s="116" t="s">
        <v>285</v>
      </c>
      <c r="D65" s="80">
        <v>6</v>
      </c>
      <c r="E65" s="128" t="s">
        <v>712</v>
      </c>
      <c r="F65" s="136"/>
      <c r="G65" s="128" t="s">
        <v>23</v>
      </c>
      <c r="H65" s="128"/>
      <c r="I65" s="128"/>
      <c r="J65" s="128"/>
      <c r="K65" s="128"/>
      <c r="L65" s="128"/>
      <c r="M65" s="128" t="s">
        <v>23</v>
      </c>
      <c r="N65" s="128"/>
      <c r="O65" s="128"/>
      <c r="P65" s="128"/>
      <c r="Q65" s="128"/>
      <c r="R65" s="128"/>
      <c r="S65" s="128" t="s">
        <v>23</v>
      </c>
      <c r="T65" s="128" t="s">
        <v>23</v>
      </c>
      <c r="U65" s="128"/>
      <c r="V65" s="137" t="s">
        <v>23</v>
      </c>
      <c r="W65" s="136"/>
      <c r="X65" s="128"/>
      <c r="Y65" s="128"/>
      <c r="Z65" s="128"/>
      <c r="AA65" s="128"/>
      <c r="AB65" s="128" t="s">
        <v>23</v>
      </c>
      <c r="AC65" s="128"/>
      <c r="AD65" s="128"/>
      <c r="AE65" s="128"/>
      <c r="AF65" s="137" t="s">
        <v>23</v>
      </c>
      <c r="AG65" s="125"/>
      <c r="AH65" s="117">
        <v>37214119</v>
      </c>
      <c r="AI65" s="116" t="s">
        <v>285</v>
      </c>
      <c r="AJ65" s="128" t="s">
        <v>712</v>
      </c>
      <c r="AK65" s="79" t="s">
        <v>269</v>
      </c>
      <c r="AL65" s="80">
        <v>6</v>
      </c>
      <c r="AM65" s="80" t="s">
        <v>705</v>
      </c>
      <c r="AN65" s="80"/>
      <c r="AO65" s="135"/>
      <c r="AP65" s="135"/>
      <c r="AQ65" s="135"/>
      <c r="AR65" s="135"/>
      <c r="AS65" s="135"/>
      <c r="AT65" s="135"/>
      <c r="AU65" s="135">
        <v>24</v>
      </c>
      <c r="AV65" s="135"/>
      <c r="AW65" s="135"/>
      <c r="AX65" s="135">
        <v>30</v>
      </c>
      <c r="AY65" s="135">
        <v>96</v>
      </c>
      <c r="AZ65" s="135">
        <v>60</v>
      </c>
      <c r="BA65" s="135">
        <v>90</v>
      </c>
      <c r="BB65" s="135">
        <f t="shared" si="2"/>
        <v>150</v>
      </c>
    </row>
    <row r="66" spans="2:54" ht="54" x14ac:dyDescent="0.25">
      <c r="B66" s="113">
        <v>37214120</v>
      </c>
      <c r="C66" s="116" t="s">
        <v>466</v>
      </c>
      <c r="D66" s="80">
        <v>6</v>
      </c>
      <c r="E66" s="128" t="s">
        <v>712</v>
      </c>
      <c r="F66" s="136"/>
      <c r="G66" s="128"/>
      <c r="H66" s="128"/>
      <c r="I66" s="128"/>
      <c r="J66" s="128"/>
      <c r="K66" s="128"/>
      <c r="L66" s="128"/>
      <c r="M66" s="128"/>
      <c r="N66" s="128" t="s">
        <v>23</v>
      </c>
      <c r="O66" s="128"/>
      <c r="P66" s="128"/>
      <c r="Q66" s="128"/>
      <c r="R66" s="128"/>
      <c r="S66" s="128"/>
      <c r="T66" s="128" t="s">
        <v>23</v>
      </c>
      <c r="U66" s="128" t="s">
        <v>23</v>
      </c>
      <c r="V66" s="137" t="s">
        <v>23</v>
      </c>
      <c r="W66" s="136"/>
      <c r="X66" s="128"/>
      <c r="Y66" s="128"/>
      <c r="Z66" s="128"/>
      <c r="AA66" s="128" t="s">
        <v>23</v>
      </c>
      <c r="AB66" s="128"/>
      <c r="AC66" s="128"/>
      <c r="AD66" s="128"/>
      <c r="AE66" s="128"/>
      <c r="AF66" s="137" t="s">
        <v>23</v>
      </c>
      <c r="AG66" s="125"/>
      <c r="AH66" s="117">
        <v>37214120</v>
      </c>
      <c r="AI66" s="116" t="s">
        <v>466</v>
      </c>
      <c r="AJ66" s="128" t="s">
        <v>712</v>
      </c>
      <c r="AK66" s="79" t="s">
        <v>269</v>
      </c>
      <c r="AL66" s="80">
        <v>6</v>
      </c>
      <c r="AM66" s="80" t="s">
        <v>705</v>
      </c>
      <c r="AN66" s="80"/>
      <c r="AO66" s="135"/>
      <c r="AP66" s="135"/>
      <c r="AQ66" s="135"/>
      <c r="AR66" s="135">
        <v>42</v>
      </c>
      <c r="AS66" s="135"/>
      <c r="AT66" s="135"/>
      <c r="AU66" s="135">
        <v>22</v>
      </c>
      <c r="AV66" s="135"/>
      <c r="AW66" s="135">
        <v>66</v>
      </c>
      <c r="AX66" s="135"/>
      <c r="AY66" s="135">
        <v>20</v>
      </c>
      <c r="AZ66" s="135">
        <v>60</v>
      </c>
      <c r="BA66" s="135">
        <v>90</v>
      </c>
      <c r="BB66" s="135">
        <f t="shared" si="2"/>
        <v>150</v>
      </c>
    </row>
    <row r="67" spans="2:54" ht="33" x14ac:dyDescent="0.25">
      <c r="B67" s="113">
        <v>37214201</v>
      </c>
      <c r="C67" s="116" t="s">
        <v>467</v>
      </c>
      <c r="D67" s="80">
        <v>6</v>
      </c>
      <c r="E67" s="128" t="s">
        <v>712</v>
      </c>
      <c r="F67" s="136" t="s">
        <v>23</v>
      </c>
      <c r="G67" s="128"/>
      <c r="H67" s="128"/>
      <c r="I67" s="128"/>
      <c r="J67" s="128" t="s">
        <v>23</v>
      </c>
      <c r="K67" s="128"/>
      <c r="L67" s="128"/>
      <c r="M67" s="128" t="s">
        <v>23</v>
      </c>
      <c r="N67" s="128" t="s">
        <v>23</v>
      </c>
      <c r="O67" s="128"/>
      <c r="P67" s="128"/>
      <c r="Q67" s="128" t="s">
        <v>23</v>
      </c>
      <c r="R67" s="128"/>
      <c r="S67" s="128" t="s">
        <v>23</v>
      </c>
      <c r="T67" s="128" t="s">
        <v>23</v>
      </c>
      <c r="U67" s="128"/>
      <c r="V67" s="137" t="s">
        <v>23</v>
      </c>
      <c r="W67" s="136"/>
      <c r="X67" s="128"/>
      <c r="Y67" s="128"/>
      <c r="Z67" s="128"/>
      <c r="AA67" s="128"/>
      <c r="AB67" s="128" t="s">
        <v>23</v>
      </c>
      <c r="AC67" s="128"/>
      <c r="AD67" s="128" t="s">
        <v>23</v>
      </c>
      <c r="AE67" s="128"/>
      <c r="AF67" s="137" t="s">
        <v>23</v>
      </c>
      <c r="AG67" s="125"/>
      <c r="AH67" s="117">
        <v>37214201</v>
      </c>
      <c r="AI67" s="116" t="s">
        <v>467</v>
      </c>
      <c r="AJ67" s="128" t="s">
        <v>712</v>
      </c>
      <c r="AK67" s="79" t="s">
        <v>286</v>
      </c>
      <c r="AL67" s="80">
        <v>6</v>
      </c>
      <c r="AM67" s="80" t="s">
        <v>693</v>
      </c>
      <c r="AN67" s="80"/>
      <c r="AO67" s="135"/>
      <c r="AP67" s="135"/>
      <c r="AQ67" s="135"/>
      <c r="AR67" s="135">
        <v>35</v>
      </c>
      <c r="AS67" s="135">
        <v>25</v>
      </c>
      <c r="AT67" s="135">
        <v>20</v>
      </c>
      <c r="AU67" s="135">
        <v>20</v>
      </c>
      <c r="AV67" s="135"/>
      <c r="AW67" s="135">
        <v>30</v>
      </c>
      <c r="AX67" s="135"/>
      <c r="AY67" s="135">
        <v>20</v>
      </c>
      <c r="AZ67" s="135">
        <v>55</v>
      </c>
      <c r="BA67" s="135">
        <v>95</v>
      </c>
      <c r="BB67" s="135">
        <f t="shared" si="2"/>
        <v>150</v>
      </c>
    </row>
    <row r="68" spans="2:54" ht="43.5" x14ac:dyDescent="0.25">
      <c r="B68" s="113">
        <v>37214202</v>
      </c>
      <c r="C68" s="116" t="s">
        <v>753</v>
      </c>
      <c r="D68" s="80">
        <v>6</v>
      </c>
      <c r="E68" s="128" t="s">
        <v>712</v>
      </c>
      <c r="F68" s="136"/>
      <c r="G68" s="128"/>
      <c r="H68" s="128"/>
      <c r="I68" s="128"/>
      <c r="J68" s="128"/>
      <c r="K68" s="128"/>
      <c r="L68" s="128"/>
      <c r="M68" s="128"/>
      <c r="N68" s="128" t="s">
        <v>23</v>
      </c>
      <c r="O68" s="128"/>
      <c r="P68" s="128"/>
      <c r="Q68" s="128"/>
      <c r="R68" s="128"/>
      <c r="S68" s="128"/>
      <c r="T68" s="128" t="s">
        <v>23</v>
      </c>
      <c r="U68" s="128"/>
      <c r="V68" s="137" t="s">
        <v>23</v>
      </c>
      <c r="W68" s="136"/>
      <c r="X68" s="128"/>
      <c r="Y68" s="128" t="s">
        <v>23</v>
      </c>
      <c r="Z68" s="128"/>
      <c r="AA68" s="128"/>
      <c r="AB68" s="128"/>
      <c r="AC68" s="128" t="s">
        <v>23</v>
      </c>
      <c r="AD68" s="128" t="s">
        <v>23</v>
      </c>
      <c r="AE68" s="128"/>
      <c r="AF68" s="137"/>
      <c r="AG68" s="125"/>
      <c r="AH68" s="117">
        <v>37214202</v>
      </c>
      <c r="AI68" s="116" t="s">
        <v>753</v>
      </c>
      <c r="AJ68" s="128" t="s">
        <v>712</v>
      </c>
      <c r="AK68" s="79" t="s">
        <v>286</v>
      </c>
      <c r="AL68" s="80">
        <v>6</v>
      </c>
      <c r="AM68" s="80" t="s">
        <v>693</v>
      </c>
      <c r="AN68" s="80"/>
      <c r="AO68" s="135"/>
      <c r="AP68" s="135"/>
      <c r="AQ68" s="135"/>
      <c r="AR68" s="135"/>
      <c r="AS68" s="135">
        <v>67</v>
      </c>
      <c r="AT68" s="135">
        <v>11</v>
      </c>
      <c r="AU68" s="135">
        <v>11</v>
      </c>
      <c r="AV68" s="135">
        <v>6</v>
      </c>
      <c r="AW68" s="135"/>
      <c r="AX68" s="135"/>
      <c r="AY68" s="135">
        <v>55</v>
      </c>
      <c r="AZ68" s="135">
        <v>60</v>
      </c>
      <c r="BA68" s="135">
        <v>90</v>
      </c>
      <c r="BB68" s="135">
        <f t="shared" si="2"/>
        <v>150</v>
      </c>
    </row>
    <row r="69" spans="2:54" ht="43.5" x14ac:dyDescent="0.25">
      <c r="B69" s="113">
        <v>37214203</v>
      </c>
      <c r="C69" s="116" t="s">
        <v>469</v>
      </c>
      <c r="D69" s="80">
        <v>6</v>
      </c>
      <c r="E69" s="128" t="s">
        <v>712</v>
      </c>
      <c r="F69" s="136"/>
      <c r="G69" s="128"/>
      <c r="H69" s="128"/>
      <c r="I69" s="128"/>
      <c r="J69" s="128" t="s">
        <v>23</v>
      </c>
      <c r="K69" s="128"/>
      <c r="L69" s="128"/>
      <c r="M69" s="128" t="s">
        <v>23</v>
      </c>
      <c r="N69" s="128" t="s">
        <v>23</v>
      </c>
      <c r="O69" s="128"/>
      <c r="P69" s="128"/>
      <c r="Q69" s="128"/>
      <c r="R69" s="128"/>
      <c r="S69" s="128" t="s">
        <v>23</v>
      </c>
      <c r="T69" s="128" t="s">
        <v>23</v>
      </c>
      <c r="U69" s="128"/>
      <c r="V69" s="137" t="s">
        <v>23</v>
      </c>
      <c r="W69" s="136"/>
      <c r="X69" s="128"/>
      <c r="Y69" s="128"/>
      <c r="Z69" s="128"/>
      <c r="AA69" s="128" t="s">
        <v>23</v>
      </c>
      <c r="AB69" s="128"/>
      <c r="AC69" s="128"/>
      <c r="AD69" s="128" t="s">
        <v>23</v>
      </c>
      <c r="AE69" s="128"/>
      <c r="AF69" s="137" t="s">
        <v>23</v>
      </c>
      <c r="AG69" s="125"/>
      <c r="AH69" s="117">
        <v>37214203</v>
      </c>
      <c r="AI69" s="116" t="s">
        <v>469</v>
      </c>
      <c r="AJ69" s="128" t="s">
        <v>712</v>
      </c>
      <c r="AK69" s="79" t="s">
        <v>286</v>
      </c>
      <c r="AL69" s="80">
        <v>6</v>
      </c>
      <c r="AM69" s="80" t="s">
        <v>693</v>
      </c>
      <c r="AN69" s="80"/>
      <c r="AO69" s="135"/>
      <c r="AP69" s="135"/>
      <c r="AQ69" s="135"/>
      <c r="AR69" s="135">
        <v>25</v>
      </c>
      <c r="AS69" s="135">
        <v>50</v>
      </c>
      <c r="AT69" s="135"/>
      <c r="AU69" s="135">
        <v>5</v>
      </c>
      <c r="AV69" s="135"/>
      <c r="AW69" s="135">
        <v>25</v>
      </c>
      <c r="AX69" s="135">
        <v>45</v>
      </c>
      <c r="AY69" s="135"/>
      <c r="AZ69" s="135">
        <v>55</v>
      </c>
      <c r="BA69" s="135">
        <v>95</v>
      </c>
      <c r="BB69" s="135">
        <f t="shared" si="2"/>
        <v>150</v>
      </c>
    </row>
    <row r="70" spans="2:54" ht="33" x14ac:dyDescent="0.25">
      <c r="B70" s="460">
        <v>37214204</v>
      </c>
      <c r="C70" s="461" t="s">
        <v>754</v>
      </c>
      <c r="D70" s="462">
        <v>6</v>
      </c>
      <c r="E70" s="463" t="s">
        <v>712</v>
      </c>
      <c r="F70" s="464"/>
      <c r="G70" s="463"/>
      <c r="H70" s="463"/>
      <c r="I70" s="463"/>
      <c r="J70" s="463"/>
      <c r="K70" s="463"/>
      <c r="L70" s="463"/>
      <c r="M70" s="463"/>
      <c r="N70" s="463"/>
      <c r="O70" s="463"/>
      <c r="P70" s="463"/>
      <c r="Q70" s="463"/>
      <c r="R70" s="463"/>
      <c r="S70" s="463"/>
      <c r="T70" s="463"/>
      <c r="U70" s="463"/>
      <c r="V70" s="465"/>
      <c r="W70" s="464"/>
      <c r="X70" s="463"/>
      <c r="Y70" s="463"/>
      <c r="Z70" s="463"/>
      <c r="AA70" s="463"/>
      <c r="AB70" s="463"/>
      <c r="AC70" s="463"/>
      <c r="AD70" s="463"/>
      <c r="AE70" s="463"/>
      <c r="AF70" s="465"/>
      <c r="AG70" s="125"/>
      <c r="AH70" s="121">
        <v>37214204</v>
      </c>
      <c r="AI70" s="122" t="s">
        <v>754</v>
      </c>
      <c r="AJ70" s="147" t="s">
        <v>712</v>
      </c>
      <c r="AK70" s="123" t="s">
        <v>286</v>
      </c>
      <c r="AL70" s="124">
        <v>6</v>
      </c>
      <c r="AM70" s="124" t="s">
        <v>693</v>
      </c>
      <c r="AN70" s="124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</row>
    <row r="71" spans="2:54" ht="43.5" x14ac:dyDescent="0.25">
      <c r="B71" s="460">
        <v>37214206</v>
      </c>
      <c r="C71" s="461" t="s">
        <v>947</v>
      </c>
      <c r="D71" s="462">
        <v>6</v>
      </c>
      <c r="E71" s="463" t="s">
        <v>712</v>
      </c>
      <c r="F71" s="464"/>
      <c r="G71" s="463"/>
      <c r="H71" s="463"/>
      <c r="I71" s="463"/>
      <c r="J71" s="463"/>
      <c r="K71" s="463"/>
      <c r="L71" s="463"/>
      <c r="M71" s="463"/>
      <c r="N71" s="463"/>
      <c r="O71" s="463"/>
      <c r="P71" s="463"/>
      <c r="Q71" s="463"/>
      <c r="R71" s="463"/>
      <c r="S71" s="463"/>
      <c r="T71" s="463"/>
      <c r="U71" s="463"/>
      <c r="V71" s="465"/>
      <c r="W71" s="464"/>
      <c r="X71" s="463"/>
      <c r="Y71" s="463"/>
      <c r="Z71" s="463"/>
      <c r="AA71" s="463"/>
      <c r="AB71" s="463"/>
      <c r="AC71" s="463"/>
      <c r="AD71" s="463"/>
      <c r="AE71" s="463"/>
      <c r="AF71" s="465"/>
      <c r="AG71" s="125"/>
      <c r="AH71" s="434">
        <v>37214206</v>
      </c>
      <c r="AI71" s="430" t="s">
        <v>947</v>
      </c>
      <c r="AJ71" s="432" t="s">
        <v>712</v>
      </c>
      <c r="AK71" s="433" t="s">
        <v>286</v>
      </c>
      <c r="AL71" s="431">
        <v>6</v>
      </c>
      <c r="AM71" s="431" t="s">
        <v>693</v>
      </c>
      <c r="AN71" s="431"/>
      <c r="AO71" s="439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</row>
    <row r="72" spans="2:54" ht="22.5" x14ac:dyDescent="0.25">
      <c r="B72" s="113">
        <v>37214401</v>
      </c>
      <c r="C72" s="116" t="s">
        <v>288</v>
      </c>
      <c r="D72" s="80">
        <v>12</v>
      </c>
      <c r="E72" s="128" t="s">
        <v>712</v>
      </c>
      <c r="F72" s="136" t="s">
        <v>23</v>
      </c>
      <c r="G72" s="128"/>
      <c r="H72" s="128"/>
      <c r="I72" s="128" t="s">
        <v>23</v>
      </c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37"/>
      <c r="W72" s="136" t="s">
        <v>23</v>
      </c>
      <c r="X72" s="128" t="s">
        <v>23</v>
      </c>
      <c r="Y72" s="128"/>
      <c r="Z72" s="128"/>
      <c r="AA72" s="128"/>
      <c r="AB72" s="128"/>
      <c r="AC72" s="128"/>
      <c r="AD72" s="128"/>
      <c r="AE72" s="128"/>
      <c r="AF72" s="137"/>
      <c r="AG72" s="125"/>
      <c r="AH72" s="117">
        <v>37214401</v>
      </c>
      <c r="AI72" s="116" t="s">
        <v>288</v>
      </c>
      <c r="AJ72" s="128" t="s">
        <v>712</v>
      </c>
      <c r="AK72" s="79" t="s">
        <v>269</v>
      </c>
      <c r="AL72" s="80">
        <v>12</v>
      </c>
      <c r="AM72" s="80" t="s">
        <v>693</v>
      </c>
      <c r="AN72" s="80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</row>
    <row r="73" spans="2:54" ht="22.5" x14ac:dyDescent="0.25">
      <c r="B73" s="113">
        <v>37214301</v>
      </c>
      <c r="C73" s="116" t="s">
        <v>472</v>
      </c>
      <c r="D73" s="80">
        <v>12</v>
      </c>
      <c r="E73" s="128" t="s">
        <v>712</v>
      </c>
      <c r="F73" s="136" t="s">
        <v>23</v>
      </c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 t="s">
        <v>23</v>
      </c>
      <c r="T73" s="128"/>
      <c r="U73" s="128"/>
      <c r="V73" s="137"/>
      <c r="W73" s="136"/>
      <c r="X73" s="128"/>
      <c r="Y73" s="128"/>
      <c r="Z73" s="128"/>
      <c r="AA73" s="128"/>
      <c r="AB73" s="128"/>
      <c r="AC73" s="128"/>
      <c r="AD73" s="128"/>
      <c r="AE73" s="128" t="s">
        <v>23</v>
      </c>
      <c r="AF73" s="137"/>
      <c r="AG73" s="125"/>
      <c r="AH73" s="117">
        <v>37214301</v>
      </c>
      <c r="AI73" s="116" t="s">
        <v>472</v>
      </c>
      <c r="AJ73" s="128" t="s">
        <v>712</v>
      </c>
      <c r="AK73" s="79" t="s">
        <v>269</v>
      </c>
      <c r="AL73" s="80">
        <v>12</v>
      </c>
      <c r="AM73" s="80" t="s">
        <v>705</v>
      </c>
      <c r="AN73" s="80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</row>
    <row r="74" spans="2:54" ht="15.75" thickBot="1" x14ac:dyDescent="0.3">
      <c r="B74" s="3" t="s">
        <v>1123</v>
      </c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5"/>
      <c r="X74" s="125"/>
      <c r="Y74" s="125"/>
      <c r="Z74" s="125"/>
      <c r="AA74" s="125"/>
      <c r="AB74" s="125"/>
      <c r="AC74" s="125"/>
      <c r="AD74" s="125"/>
      <c r="AE74" s="125"/>
      <c r="AF74" s="125"/>
      <c r="AG74" s="125"/>
      <c r="AH74" s="125"/>
      <c r="AI74" s="125"/>
      <c r="AJ74" s="125"/>
      <c r="AK74" s="125"/>
      <c r="AL74" s="125"/>
      <c r="AM74" s="125"/>
      <c r="AN74" s="125"/>
      <c r="AO74" s="125"/>
      <c r="AP74" s="125"/>
      <c r="AQ74" s="125"/>
      <c r="AR74" s="125"/>
      <c r="AS74" s="125"/>
      <c r="AT74" s="125"/>
      <c r="AU74" s="125"/>
      <c r="AV74" s="125"/>
      <c r="AW74" s="125"/>
      <c r="AX74" s="125"/>
      <c r="AY74" s="125"/>
      <c r="AZ74" s="150">
        <f>SUM(AZ63:AZ73)</f>
        <v>414</v>
      </c>
      <c r="BA74" s="150">
        <f>SUM(BA63:BA73)</f>
        <v>636</v>
      </c>
      <c r="BB74" s="150">
        <f>SUM(BB63:BB73)</f>
        <v>1050</v>
      </c>
    </row>
    <row r="75" spans="2:54" ht="15.75" thickBot="1" x14ac:dyDescent="0.3">
      <c r="B75" s="3" t="s">
        <v>67</v>
      </c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5"/>
      <c r="Z75" s="125"/>
      <c r="AA75" s="125"/>
      <c r="AB75" s="125"/>
      <c r="AC75" s="125"/>
      <c r="AD75" s="125"/>
      <c r="AE75" s="125"/>
      <c r="AF75" s="125"/>
      <c r="AG75" s="125"/>
      <c r="AH75" s="125"/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  <c r="AV75" s="125"/>
      <c r="AW75" s="125"/>
      <c r="AX75" s="125"/>
      <c r="AY75" s="125"/>
      <c r="AZ75" s="143">
        <f>AZ74/BB74</f>
        <v>0.39428571428571429</v>
      </c>
      <c r="BA75" s="143">
        <f>BA74/BB74</f>
        <v>0.60571428571428576</v>
      </c>
      <c r="BB75" s="143">
        <f>BB74/BB74</f>
        <v>1</v>
      </c>
    </row>
  </sheetData>
  <mergeCells count="12">
    <mergeCell ref="F61:V61"/>
    <mergeCell ref="W61:AF61"/>
    <mergeCell ref="AO61:BB61"/>
    <mergeCell ref="F12:V12"/>
    <mergeCell ref="W12:AF12"/>
    <mergeCell ref="AO12:BB12"/>
    <mergeCell ref="F28:V28"/>
    <mergeCell ref="W28:AF28"/>
    <mergeCell ref="AO28:BB28"/>
    <mergeCell ref="F44:V44"/>
    <mergeCell ref="W44:AF44"/>
    <mergeCell ref="AO44:BB4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Presentació</vt:lpstr>
      <vt:lpstr>Estàndard 1</vt:lpstr>
      <vt:lpstr>Estàndard 2</vt:lpstr>
      <vt:lpstr>Estàndard 3</vt:lpstr>
      <vt:lpstr>Estàndard 4</vt:lpstr>
      <vt:lpstr>Estàndard 5</vt:lpstr>
      <vt:lpstr>Estàndard 6</vt:lpstr>
      <vt:lpstr>Taula 42.1 FISIO</vt:lpstr>
      <vt:lpstr>Taula 42.2 CAFE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Euses</dc:creator>
  <cp:lastModifiedBy>Dptmnt Qualitat ENTI-UB</cp:lastModifiedBy>
  <cp:lastPrinted>2023-12-13T08:02:36Z</cp:lastPrinted>
  <dcterms:created xsi:type="dcterms:W3CDTF">2021-05-19T13:33:11Z</dcterms:created>
  <dcterms:modified xsi:type="dcterms:W3CDTF">2025-06-10T13:11:59Z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2024-01-10T04:52:42Z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78f3a279-48c8-4670-9162-a63c451c9fae</vt:lpwstr>
  </property>
  <property fmtid="{D5CDD505-2E9C-101B-9397-08002B2CF9AE}" pid="7" name="MSIP_Label_defa4170-0d19-0005-0004-bc88714345d2_ActionId">
    <vt:lpwstr>28118791-51ad-46f9-9d8a-cfe98982d930</vt:lpwstr>
  </property>
  <property fmtid="{D5CDD505-2E9C-101B-9397-08002B2CF9AE}" pid="8" name="MSIP_Label_defa4170-0d19-0005-0004-bc88714345d2_ContentBits">
    <vt:lpwstr>0</vt:lpwstr>
  </property>
</Properties>
</file>