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felmagrinyavinyes/Library/CloudStorage/GoogleDrive-rmagrinya@euses.cat/Unitats compartides/Qualitat/EUSES TE/22-23/Marc VSMA/Informe de seguiment/"/>
    </mc:Choice>
  </mc:AlternateContent>
  <xr:revisionPtr revIDLastSave="0" documentId="13_ncr:1_{5D835D44-D834-A44F-B621-3261FE59D86F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Presentació" sheetId="1" r:id="rId1"/>
    <sheet name="Estàndard 1" sheetId="2" r:id="rId2"/>
    <sheet name="Estàndard 2" sheetId="10" r:id="rId3"/>
    <sheet name="Estàndard 3" sheetId="4" r:id="rId4"/>
    <sheet name="Estàndard 4" sheetId="5" r:id="rId5"/>
    <sheet name="Estàndard 5" sheetId="6" r:id="rId6"/>
    <sheet name="Estàndard 6" sheetId="7" r:id="rId7"/>
    <sheet name="Taula 42.1 FISIO" sheetId="8" r:id="rId8"/>
    <sheet name="Taula 42.2 CAFE" sheetId="9" r:id="rId9"/>
  </sheets>
  <externalReferences>
    <externalReference r:id="rId10"/>
  </externalReferences>
  <definedNames>
    <definedName name="_xlnm._FilterDatabase" localSheetId="1" hidden="1">'Estàndard 1'!$B$311:$L$355</definedName>
    <definedName name="_xlnm._FilterDatabase" localSheetId="4" hidden="1">'Estàndard 4'!$A$96:$U$262</definedName>
    <definedName name="_xlnm._FilterDatabase" localSheetId="6" hidden="1">'Estàndard 6'!$X$528:$X$585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4" i="7" l="1"/>
  <c r="G620" i="7"/>
  <c r="U585" i="7"/>
  <c r="S585" i="7"/>
  <c r="Q585" i="7"/>
  <c r="O585" i="7"/>
  <c r="M585" i="7"/>
  <c r="K585" i="7"/>
  <c r="G585" i="7"/>
  <c r="U584" i="7"/>
  <c r="S584" i="7"/>
  <c r="Q584" i="7"/>
  <c r="O584" i="7"/>
  <c r="M584" i="7"/>
  <c r="K584" i="7"/>
  <c r="G584" i="7"/>
  <c r="U583" i="7"/>
  <c r="S583" i="7"/>
  <c r="Q583" i="7"/>
  <c r="O583" i="7"/>
  <c r="M583" i="7"/>
  <c r="K583" i="7"/>
  <c r="G583" i="7"/>
  <c r="U582" i="7"/>
  <c r="S582" i="7"/>
  <c r="Q582" i="7"/>
  <c r="O582" i="7"/>
  <c r="M582" i="7"/>
  <c r="K582" i="7"/>
  <c r="G582" i="7"/>
  <c r="U581" i="7"/>
  <c r="S581" i="7"/>
  <c r="Q581" i="7"/>
  <c r="O581" i="7"/>
  <c r="M581" i="7"/>
  <c r="K581" i="7"/>
  <c r="G581" i="7"/>
  <c r="U580" i="7"/>
  <c r="S580" i="7"/>
  <c r="Q580" i="7"/>
  <c r="O580" i="7"/>
  <c r="M580" i="7"/>
  <c r="K580" i="7"/>
  <c r="G580" i="7"/>
  <c r="U579" i="7"/>
  <c r="S579" i="7"/>
  <c r="Q579" i="7"/>
  <c r="O579" i="7"/>
  <c r="M579" i="7"/>
  <c r="K579" i="7"/>
  <c r="G579" i="7"/>
  <c r="U578" i="7"/>
  <c r="S578" i="7"/>
  <c r="T578" i="7" s="1"/>
  <c r="Q578" i="7"/>
  <c r="O578" i="7"/>
  <c r="P578" i="7" s="1"/>
  <c r="M578" i="7"/>
  <c r="K578" i="7"/>
  <c r="L578" i="7" s="1"/>
  <c r="G578" i="7"/>
  <c r="U577" i="7"/>
  <c r="S577" i="7"/>
  <c r="Q577" i="7"/>
  <c r="O577" i="7"/>
  <c r="M577" i="7"/>
  <c r="K577" i="7"/>
  <c r="G577" i="7"/>
  <c r="U576" i="7"/>
  <c r="S576" i="7"/>
  <c r="Q576" i="7"/>
  <c r="O576" i="7"/>
  <c r="M576" i="7"/>
  <c r="K576" i="7"/>
  <c r="G576" i="7"/>
  <c r="U575" i="7"/>
  <c r="S575" i="7"/>
  <c r="Q575" i="7"/>
  <c r="O575" i="7"/>
  <c r="M575" i="7"/>
  <c r="K575" i="7"/>
  <c r="G575" i="7"/>
  <c r="U574" i="7"/>
  <c r="S574" i="7"/>
  <c r="Q574" i="7"/>
  <c r="O574" i="7"/>
  <c r="M574" i="7"/>
  <c r="K574" i="7"/>
  <c r="G574" i="7"/>
  <c r="U573" i="7"/>
  <c r="S573" i="7"/>
  <c r="Q573" i="7"/>
  <c r="O573" i="7"/>
  <c r="M573" i="7"/>
  <c r="K573" i="7"/>
  <c r="G573" i="7"/>
  <c r="U572" i="7"/>
  <c r="S572" i="7"/>
  <c r="Q572" i="7"/>
  <c r="O572" i="7"/>
  <c r="M572" i="7"/>
  <c r="K572" i="7"/>
  <c r="G572" i="7"/>
  <c r="R572" i="7" s="1"/>
  <c r="U571" i="7"/>
  <c r="S571" i="7"/>
  <c r="Q571" i="7"/>
  <c r="O571" i="7"/>
  <c r="M571" i="7"/>
  <c r="K571" i="7"/>
  <c r="G571" i="7"/>
  <c r="U570" i="7"/>
  <c r="S570" i="7"/>
  <c r="Q570" i="7"/>
  <c r="O570" i="7"/>
  <c r="M570" i="7"/>
  <c r="K570" i="7"/>
  <c r="G570" i="7"/>
  <c r="U569" i="7"/>
  <c r="S569" i="7"/>
  <c r="Q569" i="7"/>
  <c r="O569" i="7"/>
  <c r="M569" i="7"/>
  <c r="K569" i="7"/>
  <c r="G569" i="7"/>
  <c r="U568" i="7"/>
  <c r="S568" i="7"/>
  <c r="Q568" i="7"/>
  <c r="O568" i="7"/>
  <c r="M568" i="7"/>
  <c r="K568" i="7"/>
  <c r="G568" i="7"/>
  <c r="U567" i="7"/>
  <c r="S567" i="7"/>
  <c r="Q567" i="7"/>
  <c r="O567" i="7"/>
  <c r="M567" i="7"/>
  <c r="K567" i="7"/>
  <c r="G567" i="7"/>
  <c r="U566" i="7"/>
  <c r="S566" i="7"/>
  <c r="Q566" i="7"/>
  <c r="O566" i="7"/>
  <c r="M566" i="7"/>
  <c r="K566" i="7"/>
  <c r="L566" i="7" s="1"/>
  <c r="G566" i="7"/>
  <c r="U565" i="7"/>
  <c r="S565" i="7"/>
  <c r="Q565" i="7"/>
  <c r="O565" i="7"/>
  <c r="M565" i="7"/>
  <c r="K565" i="7"/>
  <c r="G565" i="7"/>
  <c r="U564" i="7"/>
  <c r="S564" i="7"/>
  <c r="Q564" i="7"/>
  <c r="O564" i="7"/>
  <c r="M564" i="7"/>
  <c r="K564" i="7"/>
  <c r="G564" i="7"/>
  <c r="U563" i="7"/>
  <c r="S563" i="7"/>
  <c r="Q563" i="7"/>
  <c r="O563" i="7"/>
  <c r="M563" i="7"/>
  <c r="K563" i="7"/>
  <c r="G563" i="7"/>
  <c r="U562" i="7"/>
  <c r="S562" i="7"/>
  <c r="Q562" i="7"/>
  <c r="O562" i="7"/>
  <c r="M562" i="7"/>
  <c r="K562" i="7"/>
  <c r="G562" i="7"/>
  <c r="U561" i="7"/>
  <c r="S561" i="7"/>
  <c r="Q561" i="7"/>
  <c r="O561" i="7"/>
  <c r="M561" i="7"/>
  <c r="K561" i="7"/>
  <c r="G561" i="7"/>
  <c r="U560" i="7"/>
  <c r="S560" i="7"/>
  <c r="Q560" i="7"/>
  <c r="O560" i="7"/>
  <c r="M560" i="7"/>
  <c r="K560" i="7"/>
  <c r="G560" i="7"/>
  <c r="U559" i="7"/>
  <c r="S559" i="7"/>
  <c r="Q559" i="7"/>
  <c r="O559" i="7"/>
  <c r="M559" i="7"/>
  <c r="K559" i="7"/>
  <c r="G559" i="7"/>
  <c r="U558" i="7"/>
  <c r="S558" i="7"/>
  <c r="Q558" i="7"/>
  <c r="O558" i="7"/>
  <c r="M558" i="7"/>
  <c r="K558" i="7"/>
  <c r="G558" i="7"/>
  <c r="U557" i="7"/>
  <c r="S557" i="7"/>
  <c r="Q557" i="7"/>
  <c r="O557" i="7"/>
  <c r="M557" i="7"/>
  <c r="K557" i="7"/>
  <c r="G557" i="7"/>
  <c r="U556" i="7"/>
  <c r="S556" i="7"/>
  <c r="Q556" i="7"/>
  <c r="O556" i="7"/>
  <c r="M556" i="7"/>
  <c r="K556" i="7"/>
  <c r="G556" i="7"/>
  <c r="R556" i="7" s="1"/>
  <c r="U555" i="7"/>
  <c r="S555" i="7"/>
  <c r="Q555" i="7"/>
  <c r="O555" i="7"/>
  <c r="M555" i="7"/>
  <c r="K555" i="7"/>
  <c r="G555" i="7"/>
  <c r="U554" i="7"/>
  <c r="S554" i="7"/>
  <c r="Q554" i="7"/>
  <c r="O554" i="7"/>
  <c r="M554" i="7"/>
  <c r="K554" i="7"/>
  <c r="G554" i="7"/>
  <c r="P554" i="7" s="1"/>
  <c r="U553" i="7"/>
  <c r="S553" i="7"/>
  <c r="Q553" i="7"/>
  <c r="O553" i="7"/>
  <c r="M553" i="7"/>
  <c r="K553" i="7"/>
  <c r="G553" i="7"/>
  <c r="U552" i="7"/>
  <c r="S552" i="7"/>
  <c r="Q552" i="7"/>
  <c r="O552" i="7"/>
  <c r="M552" i="7"/>
  <c r="K552" i="7"/>
  <c r="G552" i="7"/>
  <c r="U551" i="7"/>
  <c r="S551" i="7"/>
  <c r="Q551" i="7"/>
  <c r="O551" i="7"/>
  <c r="M551" i="7"/>
  <c r="K551" i="7"/>
  <c r="G551" i="7"/>
  <c r="U550" i="7"/>
  <c r="S550" i="7"/>
  <c r="Q550" i="7"/>
  <c r="O550" i="7"/>
  <c r="M550" i="7"/>
  <c r="K550" i="7"/>
  <c r="G550" i="7"/>
  <c r="U549" i="7"/>
  <c r="S549" i="7"/>
  <c r="Q549" i="7"/>
  <c r="O549" i="7"/>
  <c r="M549" i="7"/>
  <c r="K549" i="7"/>
  <c r="G549" i="7"/>
  <c r="U548" i="7"/>
  <c r="S548" i="7"/>
  <c r="Q548" i="7"/>
  <c r="O548" i="7"/>
  <c r="M548" i="7"/>
  <c r="K548" i="7"/>
  <c r="G548" i="7"/>
  <c r="U547" i="7"/>
  <c r="S547" i="7"/>
  <c r="Q547" i="7"/>
  <c r="O547" i="7"/>
  <c r="M547" i="7"/>
  <c r="K547" i="7"/>
  <c r="G547" i="7"/>
  <c r="U546" i="7"/>
  <c r="S546" i="7"/>
  <c r="Q546" i="7"/>
  <c r="O546" i="7"/>
  <c r="M546" i="7"/>
  <c r="K546" i="7"/>
  <c r="G546" i="7"/>
  <c r="U545" i="7"/>
  <c r="S545" i="7"/>
  <c r="Q545" i="7"/>
  <c r="O545" i="7"/>
  <c r="M545" i="7"/>
  <c r="K545" i="7"/>
  <c r="G545" i="7"/>
  <c r="U544" i="7"/>
  <c r="S544" i="7"/>
  <c r="Q544" i="7"/>
  <c r="O544" i="7"/>
  <c r="M544" i="7"/>
  <c r="K544" i="7"/>
  <c r="G544" i="7"/>
  <c r="R544" i="7" s="1"/>
  <c r="U543" i="7"/>
  <c r="S543" i="7"/>
  <c r="Q543" i="7"/>
  <c r="O543" i="7"/>
  <c r="M543" i="7"/>
  <c r="K543" i="7"/>
  <c r="G543" i="7"/>
  <c r="U542" i="7"/>
  <c r="S542" i="7"/>
  <c r="Q542" i="7"/>
  <c r="O542" i="7"/>
  <c r="M542" i="7"/>
  <c r="K542" i="7"/>
  <c r="G542" i="7"/>
  <c r="U541" i="7"/>
  <c r="S541" i="7"/>
  <c r="Q541" i="7"/>
  <c r="O541" i="7"/>
  <c r="M541" i="7"/>
  <c r="K541" i="7"/>
  <c r="G541" i="7"/>
  <c r="U540" i="7"/>
  <c r="S540" i="7"/>
  <c r="Q540" i="7"/>
  <c r="O540" i="7"/>
  <c r="M540" i="7"/>
  <c r="K540" i="7"/>
  <c r="G540" i="7"/>
  <c r="U539" i="7"/>
  <c r="S539" i="7"/>
  <c r="Q539" i="7"/>
  <c r="O539" i="7"/>
  <c r="M539" i="7"/>
  <c r="K539" i="7"/>
  <c r="G539" i="7"/>
  <c r="U538" i="7"/>
  <c r="S538" i="7"/>
  <c r="Q538" i="7"/>
  <c r="O538" i="7"/>
  <c r="M538" i="7"/>
  <c r="K538" i="7"/>
  <c r="G538" i="7"/>
  <c r="U537" i="7"/>
  <c r="S537" i="7"/>
  <c r="Q537" i="7"/>
  <c r="O537" i="7"/>
  <c r="M537" i="7"/>
  <c r="K537" i="7"/>
  <c r="G537" i="7"/>
  <c r="U536" i="7"/>
  <c r="S536" i="7"/>
  <c r="Q536" i="7"/>
  <c r="O536" i="7"/>
  <c r="M536" i="7"/>
  <c r="K536" i="7"/>
  <c r="G536" i="7"/>
  <c r="U535" i="7"/>
  <c r="S535" i="7"/>
  <c r="Q535" i="7"/>
  <c r="O535" i="7"/>
  <c r="M535" i="7"/>
  <c r="K535" i="7"/>
  <c r="G535" i="7"/>
  <c r="U534" i="7"/>
  <c r="S534" i="7"/>
  <c r="Q534" i="7"/>
  <c r="O534" i="7"/>
  <c r="M534" i="7"/>
  <c r="K534" i="7"/>
  <c r="G534" i="7"/>
  <c r="U533" i="7"/>
  <c r="S533" i="7"/>
  <c r="Q533" i="7"/>
  <c r="O533" i="7"/>
  <c r="M533" i="7"/>
  <c r="K533" i="7"/>
  <c r="G533" i="7"/>
  <c r="U532" i="7"/>
  <c r="S532" i="7"/>
  <c r="Q532" i="7"/>
  <c r="O532" i="7"/>
  <c r="M532" i="7"/>
  <c r="K532" i="7"/>
  <c r="G532" i="7"/>
  <c r="U531" i="7"/>
  <c r="S531" i="7"/>
  <c r="Q531" i="7"/>
  <c r="O531" i="7"/>
  <c r="M531" i="7"/>
  <c r="K531" i="7"/>
  <c r="G531" i="7"/>
  <c r="U530" i="7"/>
  <c r="S530" i="7"/>
  <c r="Q530" i="7"/>
  <c r="O530" i="7"/>
  <c r="M530" i="7"/>
  <c r="K530" i="7"/>
  <c r="G530" i="7"/>
  <c r="U529" i="7"/>
  <c r="S529" i="7"/>
  <c r="Q529" i="7"/>
  <c r="O529" i="7"/>
  <c r="M529" i="7"/>
  <c r="K529" i="7"/>
  <c r="G529" i="7"/>
  <c r="U528" i="7"/>
  <c r="S528" i="7"/>
  <c r="Q528" i="7"/>
  <c r="O528" i="7"/>
  <c r="M528" i="7"/>
  <c r="K528" i="7"/>
  <c r="G528" i="7"/>
  <c r="U520" i="7"/>
  <c r="S520" i="7"/>
  <c r="Q520" i="7"/>
  <c r="O520" i="7"/>
  <c r="M520" i="7"/>
  <c r="K520" i="7"/>
  <c r="L520" i="7" s="1"/>
  <c r="G520" i="7"/>
  <c r="U519" i="7"/>
  <c r="S519" i="7"/>
  <c r="Q519" i="7"/>
  <c r="O519" i="7"/>
  <c r="M519" i="7"/>
  <c r="K519" i="7"/>
  <c r="G519" i="7"/>
  <c r="U518" i="7"/>
  <c r="S518" i="7"/>
  <c r="Q518" i="7"/>
  <c r="O518" i="7"/>
  <c r="M518" i="7"/>
  <c r="K518" i="7"/>
  <c r="G518" i="7"/>
  <c r="U517" i="7"/>
  <c r="S517" i="7"/>
  <c r="Q517" i="7"/>
  <c r="O517" i="7"/>
  <c r="M517" i="7"/>
  <c r="K517" i="7"/>
  <c r="G517" i="7"/>
  <c r="U516" i="7"/>
  <c r="S516" i="7"/>
  <c r="Q516" i="7"/>
  <c r="O516" i="7"/>
  <c r="M516" i="7"/>
  <c r="K516" i="7"/>
  <c r="G516" i="7"/>
  <c r="U515" i="7"/>
  <c r="S515" i="7"/>
  <c r="Q515" i="7"/>
  <c r="O515" i="7"/>
  <c r="M515" i="7"/>
  <c r="K515" i="7"/>
  <c r="G515" i="7"/>
  <c r="U514" i="7"/>
  <c r="S514" i="7"/>
  <c r="Q514" i="7"/>
  <c r="O514" i="7"/>
  <c r="M514" i="7"/>
  <c r="K514" i="7"/>
  <c r="G514" i="7"/>
  <c r="U513" i="7"/>
  <c r="S513" i="7"/>
  <c r="Q513" i="7"/>
  <c r="O513" i="7"/>
  <c r="M513" i="7"/>
  <c r="K513" i="7"/>
  <c r="G513" i="7"/>
  <c r="U512" i="7"/>
  <c r="S512" i="7"/>
  <c r="Q512" i="7"/>
  <c r="O512" i="7"/>
  <c r="M512" i="7"/>
  <c r="K512" i="7"/>
  <c r="L512" i="7" s="1"/>
  <c r="G512" i="7"/>
  <c r="U511" i="7"/>
  <c r="S511" i="7"/>
  <c r="Q511" i="7"/>
  <c r="O511" i="7"/>
  <c r="M511" i="7"/>
  <c r="K511" i="7"/>
  <c r="G511" i="7"/>
  <c r="U510" i="7"/>
  <c r="S510" i="7"/>
  <c r="Q510" i="7"/>
  <c r="O510" i="7"/>
  <c r="M510" i="7"/>
  <c r="K510" i="7"/>
  <c r="G510" i="7"/>
  <c r="U509" i="7"/>
  <c r="S509" i="7"/>
  <c r="Q509" i="7"/>
  <c r="O509" i="7"/>
  <c r="M509" i="7"/>
  <c r="K509" i="7"/>
  <c r="G509" i="7"/>
  <c r="U508" i="7"/>
  <c r="S508" i="7"/>
  <c r="Q508" i="7"/>
  <c r="O508" i="7"/>
  <c r="M508" i="7"/>
  <c r="K508" i="7"/>
  <c r="G508" i="7"/>
  <c r="U507" i="7"/>
  <c r="S507" i="7"/>
  <c r="Q507" i="7"/>
  <c r="O507" i="7"/>
  <c r="M507" i="7"/>
  <c r="K507" i="7"/>
  <c r="G507" i="7"/>
  <c r="U506" i="7"/>
  <c r="S506" i="7"/>
  <c r="Q506" i="7"/>
  <c r="O506" i="7"/>
  <c r="M506" i="7"/>
  <c r="K506" i="7"/>
  <c r="G506" i="7"/>
  <c r="U505" i="7"/>
  <c r="S505" i="7"/>
  <c r="Q505" i="7"/>
  <c r="O505" i="7"/>
  <c r="M505" i="7"/>
  <c r="K505" i="7"/>
  <c r="G505" i="7"/>
  <c r="U504" i="7"/>
  <c r="S504" i="7"/>
  <c r="Q504" i="7"/>
  <c r="O504" i="7"/>
  <c r="M504" i="7"/>
  <c r="K504" i="7"/>
  <c r="G504" i="7"/>
  <c r="U503" i="7"/>
  <c r="S503" i="7"/>
  <c r="Q503" i="7"/>
  <c r="O503" i="7"/>
  <c r="M503" i="7"/>
  <c r="K503" i="7"/>
  <c r="G503" i="7"/>
  <c r="U502" i="7"/>
  <c r="S502" i="7"/>
  <c r="Q502" i="7"/>
  <c r="O502" i="7"/>
  <c r="M502" i="7"/>
  <c r="K502" i="7"/>
  <c r="L502" i="7" s="1"/>
  <c r="G502" i="7"/>
  <c r="U501" i="7"/>
  <c r="S501" i="7"/>
  <c r="Q501" i="7"/>
  <c r="O501" i="7"/>
  <c r="M501" i="7"/>
  <c r="K501" i="7"/>
  <c r="G501" i="7"/>
  <c r="U500" i="7"/>
  <c r="S500" i="7"/>
  <c r="Q500" i="7"/>
  <c r="O500" i="7"/>
  <c r="M500" i="7"/>
  <c r="K500" i="7"/>
  <c r="G500" i="7"/>
  <c r="V500" i="7" s="1"/>
  <c r="U499" i="7"/>
  <c r="S499" i="7"/>
  <c r="Q499" i="7"/>
  <c r="O499" i="7"/>
  <c r="M499" i="7"/>
  <c r="K499" i="7"/>
  <c r="G499" i="7"/>
  <c r="U498" i="7"/>
  <c r="S498" i="7"/>
  <c r="Q498" i="7"/>
  <c r="O498" i="7"/>
  <c r="M498" i="7"/>
  <c r="K498" i="7"/>
  <c r="G498" i="7"/>
  <c r="U497" i="7"/>
  <c r="S497" i="7"/>
  <c r="Q497" i="7"/>
  <c r="O497" i="7"/>
  <c r="M497" i="7"/>
  <c r="K497" i="7"/>
  <c r="G497" i="7"/>
  <c r="U496" i="7"/>
  <c r="S496" i="7"/>
  <c r="Q496" i="7"/>
  <c r="O496" i="7"/>
  <c r="M496" i="7"/>
  <c r="K496" i="7"/>
  <c r="G496" i="7"/>
  <c r="U495" i="7"/>
  <c r="S495" i="7"/>
  <c r="Q495" i="7"/>
  <c r="O495" i="7"/>
  <c r="P495" i="7" s="1"/>
  <c r="M495" i="7"/>
  <c r="K495" i="7"/>
  <c r="G495" i="7"/>
  <c r="U494" i="7"/>
  <c r="S494" i="7"/>
  <c r="Q494" i="7"/>
  <c r="O494" i="7"/>
  <c r="M494" i="7"/>
  <c r="K494" i="7"/>
  <c r="G494" i="7"/>
  <c r="U493" i="7"/>
  <c r="S493" i="7"/>
  <c r="Q493" i="7"/>
  <c r="O493" i="7"/>
  <c r="M493" i="7"/>
  <c r="K493" i="7"/>
  <c r="L493" i="7" s="1"/>
  <c r="G493" i="7"/>
  <c r="U492" i="7"/>
  <c r="S492" i="7"/>
  <c r="Q492" i="7"/>
  <c r="O492" i="7"/>
  <c r="M492" i="7"/>
  <c r="K492" i="7"/>
  <c r="G492" i="7"/>
  <c r="U491" i="7"/>
  <c r="S491" i="7"/>
  <c r="Q491" i="7"/>
  <c r="O491" i="7"/>
  <c r="M491" i="7"/>
  <c r="K491" i="7"/>
  <c r="G491" i="7"/>
  <c r="T491" i="7" s="1"/>
  <c r="U490" i="7"/>
  <c r="S490" i="7"/>
  <c r="Q490" i="7"/>
  <c r="O490" i="7"/>
  <c r="M490" i="7"/>
  <c r="K490" i="7"/>
  <c r="G490" i="7"/>
  <c r="U489" i="7"/>
  <c r="S489" i="7"/>
  <c r="Q489" i="7"/>
  <c r="O489" i="7"/>
  <c r="M489" i="7"/>
  <c r="K489" i="7"/>
  <c r="G489" i="7"/>
  <c r="U488" i="7"/>
  <c r="S488" i="7"/>
  <c r="Q488" i="7"/>
  <c r="O488" i="7"/>
  <c r="M488" i="7"/>
  <c r="K488" i="7"/>
  <c r="L488" i="7" s="1"/>
  <c r="G488" i="7"/>
  <c r="P488" i="7" s="1"/>
  <c r="U487" i="7"/>
  <c r="S487" i="7"/>
  <c r="Q487" i="7"/>
  <c r="O487" i="7"/>
  <c r="M487" i="7"/>
  <c r="K487" i="7"/>
  <c r="G487" i="7"/>
  <c r="U486" i="7"/>
  <c r="S486" i="7"/>
  <c r="Q486" i="7"/>
  <c r="O486" i="7"/>
  <c r="M486" i="7"/>
  <c r="K486" i="7"/>
  <c r="G486" i="7"/>
  <c r="U485" i="7"/>
  <c r="S485" i="7"/>
  <c r="Q485" i="7"/>
  <c r="O485" i="7"/>
  <c r="M485" i="7"/>
  <c r="K485" i="7"/>
  <c r="G485" i="7"/>
  <c r="U484" i="7"/>
  <c r="S484" i="7"/>
  <c r="Q484" i="7"/>
  <c r="O484" i="7"/>
  <c r="M484" i="7"/>
  <c r="K484" i="7"/>
  <c r="G484" i="7"/>
  <c r="L573" i="7" l="1"/>
  <c r="T534" i="7"/>
  <c r="L554" i="7"/>
  <c r="V497" i="7"/>
  <c r="L498" i="7"/>
  <c r="N499" i="7"/>
  <c r="L506" i="7"/>
  <c r="T536" i="7"/>
  <c r="L537" i="7"/>
  <c r="T566" i="7"/>
  <c r="L570" i="7"/>
  <c r="P573" i="7"/>
  <c r="L530" i="7"/>
  <c r="P545" i="7"/>
  <c r="P553" i="7"/>
  <c r="R566" i="7"/>
  <c r="V570" i="7"/>
  <c r="N573" i="7"/>
  <c r="R492" i="7"/>
  <c r="P496" i="7"/>
  <c r="V504" i="7"/>
  <c r="V512" i="7"/>
  <c r="T568" i="7"/>
  <c r="T577" i="7"/>
  <c r="K522" i="7"/>
  <c r="S522" i="7"/>
  <c r="T573" i="7"/>
  <c r="L503" i="7"/>
  <c r="L511" i="7"/>
  <c r="T538" i="7"/>
  <c r="P549" i="7"/>
  <c r="V573" i="7"/>
  <c r="V493" i="7"/>
  <c r="V499" i="7"/>
  <c r="N503" i="7"/>
  <c r="V509" i="7"/>
  <c r="N534" i="7"/>
  <c r="P535" i="7"/>
  <c r="N540" i="7"/>
  <c r="L565" i="7"/>
  <c r="L574" i="7"/>
  <c r="L582" i="7"/>
  <c r="P582" i="7"/>
  <c r="N486" i="7"/>
  <c r="L487" i="7"/>
  <c r="T488" i="7"/>
  <c r="L492" i="7"/>
  <c r="L508" i="7"/>
  <c r="V516" i="7"/>
  <c r="L517" i="7"/>
  <c r="T517" i="7"/>
  <c r="N529" i="7"/>
  <c r="L532" i="7"/>
  <c r="P534" i="7"/>
  <c r="V535" i="7"/>
  <c r="V555" i="7"/>
  <c r="L556" i="7"/>
  <c r="V559" i="7"/>
  <c r="P562" i="7"/>
  <c r="V563" i="7"/>
  <c r="N566" i="7"/>
  <c r="O521" i="7"/>
  <c r="V485" i="7"/>
  <c r="N490" i="7"/>
  <c r="N492" i="7"/>
  <c r="V498" i="7"/>
  <c r="L499" i="7"/>
  <c r="V506" i="7"/>
  <c r="N508" i="7"/>
  <c r="V508" i="7"/>
  <c r="P509" i="7"/>
  <c r="V510" i="7"/>
  <c r="T511" i="7"/>
  <c r="T512" i="7"/>
  <c r="T516" i="7"/>
  <c r="M586" i="7"/>
  <c r="U586" i="7"/>
  <c r="P529" i="7"/>
  <c r="V530" i="7"/>
  <c r="V542" i="7"/>
  <c r="N544" i="7"/>
  <c r="V544" i="7"/>
  <c r="V546" i="7"/>
  <c r="V548" i="7"/>
  <c r="N556" i="7"/>
  <c r="V556" i="7"/>
  <c r="P557" i="7"/>
  <c r="L558" i="7"/>
  <c r="P566" i="7"/>
  <c r="T574" i="7"/>
  <c r="N579" i="7"/>
  <c r="V579" i="7"/>
  <c r="N583" i="7"/>
  <c r="V583" i="7"/>
  <c r="G521" i="7"/>
  <c r="Q521" i="7"/>
  <c r="P492" i="7"/>
  <c r="P500" i="7"/>
  <c r="P504" i="7"/>
  <c r="P508" i="7"/>
  <c r="T518" i="7"/>
  <c r="T557" i="7"/>
  <c r="T561" i="7"/>
  <c r="R570" i="7"/>
  <c r="N574" i="7"/>
  <c r="P579" i="7"/>
  <c r="T580" i="7"/>
  <c r="P583" i="7"/>
  <c r="T584" i="7"/>
  <c r="V489" i="7"/>
  <c r="L490" i="7"/>
  <c r="N491" i="7"/>
  <c r="V494" i="7"/>
  <c r="L495" i="7"/>
  <c r="N496" i="7"/>
  <c r="T496" i="7"/>
  <c r="T500" i="7"/>
  <c r="N505" i="7"/>
  <c r="P506" i="7"/>
  <c r="R508" i="7"/>
  <c r="P512" i="7"/>
  <c r="L514" i="7"/>
  <c r="N515" i="7"/>
  <c r="V515" i="7"/>
  <c r="P516" i="7"/>
  <c r="L518" i="7"/>
  <c r="P520" i="7"/>
  <c r="L529" i="7"/>
  <c r="T529" i="7"/>
  <c r="T530" i="7"/>
  <c r="L534" i="7"/>
  <c r="V536" i="7"/>
  <c r="P537" i="7"/>
  <c r="V538" i="7"/>
  <c r="V543" i="7"/>
  <c r="N545" i="7"/>
  <c r="V547" i="7"/>
  <c r="N549" i="7"/>
  <c r="P550" i="7"/>
  <c r="V551" i="7"/>
  <c r="N554" i="7"/>
  <c r="N560" i="7"/>
  <c r="N562" i="7"/>
  <c r="T562" i="7"/>
  <c r="T565" i="7"/>
  <c r="V567" i="7"/>
  <c r="N569" i="7"/>
  <c r="V569" i="7"/>
  <c r="N570" i="7"/>
  <c r="R574" i="7"/>
  <c r="P577" i="7"/>
  <c r="V578" i="7"/>
  <c r="L579" i="7"/>
  <c r="T579" i="7"/>
  <c r="P581" i="7"/>
  <c r="V582" i="7"/>
  <c r="L583" i="7"/>
  <c r="T487" i="7"/>
  <c r="R488" i="7"/>
  <c r="N495" i="7"/>
  <c r="V495" i="7"/>
  <c r="N500" i="7"/>
  <c r="T502" i="7"/>
  <c r="T508" i="7"/>
  <c r="R512" i="7"/>
  <c r="P519" i="7"/>
  <c r="T520" i="7"/>
  <c r="V529" i="7"/>
  <c r="T537" i="7"/>
  <c r="V540" i="7"/>
  <c r="P558" i="7"/>
  <c r="V562" i="7"/>
  <c r="P563" i="7"/>
  <c r="T564" i="7"/>
  <c r="R564" i="7"/>
  <c r="P570" i="7"/>
  <c r="P530" i="7"/>
  <c r="R536" i="7"/>
  <c r="L542" i="7"/>
  <c r="T542" i="7"/>
  <c r="L546" i="7"/>
  <c r="T546" i="7"/>
  <c r="L550" i="7"/>
  <c r="T550" i="7"/>
  <c r="R554" i="7"/>
  <c r="R580" i="7"/>
  <c r="L486" i="7"/>
  <c r="T492" i="7"/>
  <c r="R495" i="7"/>
  <c r="L496" i="7"/>
  <c r="R496" i="7"/>
  <c r="P503" i="7"/>
  <c r="N511" i="7"/>
  <c r="N512" i="7"/>
  <c r="L515" i="7"/>
  <c r="N516" i="7"/>
  <c r="N532" i="7"/>
  <c r="V532" i="7"/>
  <c r="V534" i="7"/>
  <c r="N537" i="7"/>
  <c r="V537" i="7"/>
  <c r="P538" i="7"/>
  <c r="L540" i="7"/>
  <c r="P543" i="7"/>
  <c r="T545" i="7"/>
  <c r="N546" i="7"/>
  <c r="N548" i="7"/>
  <c r="R548" i="7"/>
  <c r="L549" i="7"/>
  <c r="T549" i="7"/>
  <c r="V552" i="7"/>
  <c r="L553" i="7"/>
  <c r="T553" i="7"/>
  <c r="T554" i="7"/>
  <c r="L562" i="7"/>
  <c r="R562" i="7"/>
  <c r="L569" i="7"/>
  <c r="T569" i="7"/>
  <c r="T570" i="7"/>
  <c r="V574" i="7"/>
  <c r="P574" i="7"/>
  <c r="V575" i="7"/>
  <c r="N577" i="7"/>
  <c r="V577" i="7"/>
  <c r="P484" i="7"/>
  <c r="V484" i="7"/>
  <c r="P485" i="7"/>
  <c r="T490" i="7"/>
  <c r="V491" i="7"/>
  <c r="T493" i="7"/>
  <c r="T486" i="7"/>
  <c r="M522" i="7"/>
  <c r="U522" i="7"/>
  <c r="N488" i="7"/>
  <c r="L489" i="7"/>
  <c r="T489" i="7"/>
  <c r="P491" i="7"/>
  <c r="N493" i="7"/>
  <c r="P494" i="7"/>
  <c r="T495" i="7"/>
  <c r="L484" i="7"/>
  <c r="N484" i="7"/>
  <c r="K521" i="7"/>
  <c r="T485" i="7"/>
  <c r="P490" i="7"/>
  <c r="R491" i="7"/>
  <c r="V492" i="7"/>
  <c r="P493" i="7"/>
  <c r="T484" i="7"/>
  <c r="N485" i="7"/>
  <c r="P486" i="7"/>
  <c r="R487" i="7"/>
  <c r="V488" i="7"/>
  <c r="P489" i="7"/>
  <c r="L491" i="7"/>
  <c r="L494" i="7"/>
  <c r="T494" i="7"/>
  <c r="T498" i="7"/>
  <c r="L501" i="7"/>
  <c r="T501" i="7"/>
  <c r="T504" i="7"/>
  <c r="V505" i="7"/>
  <c r="R507" i="7"/>
  <c r="R513" i="7"/>
  <c r="N531" i="7"/>
  <c r="V531" i="7"/>
  <c r="N533" i="7"/>
  <c r="V533" i="7"/>
  <c r="L535" i="7"/>
  <c r="T535" i="7"/>
  <c r="R537" i="7"/>
  <c r="P539" i="7"/>
  <c r="R540" i="7"/>
  <c r="P541" i="7"/>
  <c r="N543" i="7"/>
  <c r="L545" i="7"/>
  <c r="R545" i="7"/>
  <c r="N547" i="7"/>
  <c r="T548" i="7"/>
  <c r="V549" i="7"/>
  <c r="N550" i="7"/>
  <c r="L551" i="7"/>
  <c r="T551" i="7"/>
  <c r="R553" i="7"/>
  <c r="L557" i="7"/>
  <c r="R557" i="7"/>
  <c r="T558" i="7"/>
  <c r="R561" i="7"/>
  <c r="R565" i="7"/>
  <c r="P567" i="7"/>
  <c r="R571" i="7"/>
  <c r="R575" i="7"/>
  <c r="N578" i="7"/>
  <c r="N581" i="7"/>
  <c r="V581" i="7"/>
  <c r="N582" i="7"/>
  <c r="T583" i="7"/>
  <c r="P585" i="7"/>
  <c r="L497" i="7"/>
  <c r="T497" i="7"/>
  <c r="P499" i="7"/>
  <c r="N501" i="7"/>
  <c r="V501" i="7"/>
  <c r="P502" i="7"/>
  <c r="R503" i="7"/>
  <c r="P505" i="7"/>
  <c r="L507" i="7"/>
  <c r="T507" i="7"/>
  <c r="L510" i="7"/>
  <c r="T510" i="7"/>
  <c r="V511" i="7"/>
  <c r="L513" i="7"/>
  <c r="T513" i="7"/>
  <c r="P515" i="7"/>
  <c r="N517" i="7"/>
  <c r="V517" i="7"/>
  <c r="P518" i="7"/>
  <c r="R519" i="7"/>
  <c r="V520" i="7"/>
  <c r="R529" i="7"/>
  <c r="P531" i="7"/>
  <c r="R532" i="7"/>
  <c r="P533" i="7"/>
  <c r="N535" i="7"/>
  <c r="N536" i="7"/>
  <c r="L538" i="7"/>
  <c r="R538" i="7"/>
  <c r="R539" i="7"/>
  <c r="R541" i="7"/>
  <c r="P542" i="7"/>
  <c r="P546" i="7"/>
  <c r="P547" i="7"/>
  <c r="R549" i="7"/>
  <c r="N553" i="7"/>
  <c r="V554" i="7"/>
  <c r="P555" i="7"/>
  <c r="N557" i="7"/>
  <c r="V558" i="7"/>
  <c r="P559" i="7"/>
  <c r="R567" i="7"/>
  <c r="L571" i="7"/>
  <c r="T571" i="7"/>
  <c r="L575" i="7"/>
  <c r="T575" i="7"/>
  <c r="T582" i="7"/>
  <c r="R585" i="7"/>
  <c r="N497" i="7"/>
  <c r="P498" i="7"/>
  <c r="R499" i="7"/>
  <c r="P501" i="7"/>
  <c r="T503" i="7"/>
  <c r="L504" i="7"/>
  <c r="R504" i="7"/>
  <c r="R505" i="7"/>
  <c r="N507" i="7"/>
  <c r="V507" i="7"/>
  <c r="L509" i="7"/>
  <c r="T509" i="7"/>
  <c r="P511" i="7"/>
  <c r="N513" i="7"/>
  <c r="V513" i="7"/>
  <c r="R515" i="7"/>
  <c r="P517" i="7"/>
  <c r="L519" i="7"/>
  <c r="T519" i="7"/>
  <c r="R520" i="7"/>
  <c r="R531" i="7"/>
  <c r="R533" i="7"/>
  <c r="N538" i="7"/>
  <c r="L539" i="7"/>
  <c r="T539" i="7"/>
  <c r="L541" i="7"/>
  <c r="T541" i="7"/>
  <c r="R543" i="7"/>
  <c r="L544" i="7"/>
  <c r="L548" i="7"/>
  <c r="V550" i="7"/>
  <c r="P551" i="7"/>
  <c r="R558" i="7"/>
  <c r="N561" i="7"/>
  <c r="V561" i="7"/>
  <c r="L563" i="7"/>
  <c r="T563" i="7"/>
  <c r="N565" i="7"/>
  <c r="V565" i="7"/>
  <c r="L567" i="7"/>
  <c r="T567" i="7"/>
  <c r="P569" i="7"/>
  <c r="N571" i="7"/>
  <c r="V571" i="7"/>
  <c r="N575" i="7"/>
  <c r="R577" i="7"/>
  <c r="R581" i="7"/>
  <c r="L585" i="7"/>
  <c r="T585" i="7"/>
  <c r="V496" i="7"/>
  <c r="P497" i="7"/>
  <c r="T499" i="7"/>
  <c r="L500" i="7"/>
  <c r="R500" i="7"/>
  <c r="R501" i="7"/>
  <c r="V503" i="7"/>
  <c r="N504" i="7"/>
  <c r="L505" i="7"/>
  <c r="T505" i="7"/>
  <c r="P507" i="7"/>
  <c r="N509" i="7"/>
  <c r="P510" i="7"/>
  <c r="R511" i="7"/>
  <c r="P513" i="7"/>
  <c r="T514" i="7"/>
  <c r="T515" i="7"/>
  <c r="L516" i="7"/>
  <c r="R517" i="7"/>
  <c r="N519" i="7"/>
  <c r="V519" i="7"/>
  <c r="N520" i="7"/>
  <c r="L531" i="7"/>
  <c r="T531" i="7"/>
  <c r="L533" i="7"/>
  <c r="T533" i="7"/>
  <c r="R535" i="7"/>
  <c r="L536" i="7"/>
  <c r="N539" i="7"/>
  <c r="V539" i="7"/>
  <c r="N541" i="7"/>
  <c r="V541" i="7"/>
  <c r="L543" i="7"/>
  <c r="T543" i="7"/>
  <c r="V545" i="7"/>
  <c r="L547" i="7"/>
  <c r="T547" i="7"/>
  <c r="R550" i="7"/>
  <c r="R552" i="7"/>
  <c r="V553" i="7"/>
  <c r="L555" i="7"/>
  <c r="T555" i="7"/>
  <c r="T556" i="7"/>
  <c r="V557" i="7"/>
  <c r="N558" i="7"/>
  <c r="L559" i="7"/>
  <c r="T559" i="7"/>
  <c r="N563" i="7"/>
  <c r="P565" i="7"/>
  <c r="V566" i="7"/>
  <c r="N567" i="7"/>
  <c r="R569" i="7"/>
  <c r="P571" i="7"/>
  <c r="T572" i="7"/>
  <c r="R573" i="7"/>
  <c r="P575" i="7"/>
  <c r="T576" i="7"/>
  <c r="L577" i="7"/>
  <c r="R578" i="7"/>
  <c r="R579" i="7"/>
  <c r="L581" i="7"/>
  <c r="T581" i="7"/>
  <c r="R582" i="7"/>
  <c r="R583" i="7"/>
  <c r="N585" i="7"/>
  <c r="V585" i="7"/>
  <c r="G586" i="7"/>
  <c r="G587" i="7"/>
  <c r="R528" i="7"/>
  <c r="P560" i="7"/>
  <c r="P568" i="7"/>
  <c r="P576" i="7"/>
  <c r="P584" i="7"/>
  <c r="K586" i="7"/>
  <c r="K587" i="7"/>
  <c r="O586" i="7"/>
  <c r="S586" i="7"/>
  <c r="S587" i="7"/>
  <c r="P536" i="7"/>
  <c r="T544" i="7"/>
  <c r="P544" i="7"/>
  <c r="P548" i="7"/>
  <c r="N552" i="7"/>
  <c r="T552" i="7"/>
  <c r="L560" i="7"/>
  <c r="V560" i="7"/>
  <c r="N564" i="7"/>
  <c r="L568" i="7"/>
  <c r="V568" i="7"/>
  <c r="N572" i="7"/>
  <c r="L576" i="7"/>
  <c r="V576" i="7"/>
  <c r="N580" i="7"/>
  <c r="L584" i="7"/>
  <c r="V584" i="7"/>
  <c r="N528" i="7"/>
  <c r="P528" i="7"/>
  <c r="R560" i="7"/>
  <c r="P564" i="7"/>
  <c r="R568" i="7"/>
  <c r="P572" i="7"/>
  <c r="R576" i="7"/>
  <c r="P580" i="7"/>
  <c r="R584" i="7"/>
  <c r="V528" i="7"/>
  <c r="L528" i="7"/>
  <c r="T528" i="7"/>
  <c r="N530" i="7"/>
  <c r="R530" i="7"/>
  <c r="P552" i="7"/>
  <c r="M587" i="7"/>
  <c r="Q586" i="7"/>
  <c r="Q587" i="7"/>
  <c r="U587" i="7"/>
  <c r="T532" i="7"/>
  <c r="P532" i="7"/>
  <c r="T540" i="7"/>
  <c r="P540" i="7"/>
  <c r="L552" i="7"/>
  <c r="P556" i="7"/>
  <c r="T560" i="7"/>
  <c r="L564" i="7"/>
  <c r="V564" i="7"/>
  <c r="N568" i="7"/>
  <c r="L572" i="7"/>
  <c r="V572" i="7"/>
  <c r="N576" i="7"/>
  <c r="L580" i="7"/>
  <c r="V580" i="7"/>
  <c r="N584" i="7"/>
  <c r="O587" i="7"/>
  <c r="R534" i="7"/>
  <c r="N542" i="7"/>
  <c r="R542" i="7"/>
  <c r="R546" i="7"/>
  <c r="R547" i="7"/>
  <c r="N551" i="7"/>
  <c r="R551" i="7"/>
  <c r="N555" i="7"/>
  <c r="R555" i="7"/>
  <c r="N559" i="7"/>
  <c r="R559" i="7"/>
  <c r="L561" i="7"/>
  <c r="P561" i="7"/>
  <c r="R563" i="7"/>
  <c r="V486" i="7"/>
  <c r="V490" i="7"/>
  <c r="R498" i="7"/>
  <c r="N502" i="7"/>
  <c r="V502" i="7"/>
  <c r="R510" i="7"/>
  <c r="R514" i="7"/>
  <c r="R518" i="7"/>
  <c r="S521" i="7"/>
  <c r="L485" i="7"/>
  <c r="N487" i="7"/>
  <c r="V487" i="7"/>
  <c r="M521" i="7"/>
  <c r="U521" i="7"/>
  <c r="O522" i="7"/>
  <c r="R486" i="7"/>
  <c r="R490" i="7"/>
  <c r="R494" i="7"/>
  <c r="N498" i="7"/>
  <c r="R502" i="7"/>
  <c r="N506" i="7"/>
  <c r="N510" i="7"/>
  <c r="N514" i="7"/>
  <c r="V514" i="7"/>
  <c r="N518" i="7"/>
  <c r="V518" i="7"/>
  <c r="R484" i="7"/>
  <c r="T506" i="7"/>
  <c r="P514" i="7"/>
  <c r="R516" i="7"/>
  <c r="G522" i="7"/>
  <c r="Q522" i="7"/>
  <c r="N494" i="7"/>
  <c r="R506" i="7"/>
  <c r="R485" i="7"/>
  <c r="P487" i="7"/>
  <c r="N489" i="7"/>
  <c r="R489" i="7"/>
  <c r="R493" i="7"/>
  <c r="R497" i="7"/>
  <c r="R509" i="7"/>
  <c r="G626" i="7" l="1"/>
  <c r="L273" i="5" l="1"/>
  <c r="K273" i="5"/>
  <c r="L266" i="5"/>
  <c r="K266" i="5"/>
  <c r="F271" i="5" s="1"/>
  <c r="L85" i="5"/>
  <c r="L84" i="5"/>
  <c r="L79" i="5"/>
  <c r="L78" i="5"/>
  <c r="L64" i="5"/>
  <c r="M63" i="5"/>
  <c r="L63" i="5"/>
  <c r="L58" i="5"/>
  <c r="M57" i="5"/>
  <c r="L57" i="5"/>
  <c r="E40" i="5" l="1"/>
  <c r="D40" i="5"/>
  <c r="H27" i="5" l="1"/>
  <c r="G27" i="5"/>
  <c r="E27" i="5"/>
  <c r="H21" i="5"/>
  <c r="G21" i="5"/>
  <c r="E21" i="5"/>
  <c r="Q78" i="4" l="1"/>
  <c r="Q77" i="4"/>
  <c r="Q73" i="4"/>
  <c r="Q72" i="4"/>
  <c r="Q31" i="4" l="1"/>
  <c r="Q30" i="4"/>
  <c r="Q26" i="4"/>
  <c r="Q25" i="4"/>
  <c r="F434" i="7" l="1"/>
  <c r="E49" i="5" l="1"/>
  <c r="D49" i="5" s="1"/>
  <c r="E39" i="5"/>
  <c r="G48" i="5"/>
  <c r="K286" i="2" l="1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M221" i="2"/>
  <c r="L221" i="2"/>
  <c r="D197" i="7" l="1"/>
  <c r="F292" i="7" l="1"/>
  <c r="H292" i="7"/>
  <c r="J292" i="7"/>
  <c r="L292" i="7"/>
  <c r="D292" i="7"/>
  <c r="F433" i="7" l="1"/>
  <c r="Q235" i="7"/>
  <c r="L235" i="7"/>
  <c r="G235" i="7"/>
  <c r="Q214" i="7"/>
  <c r="L214" i="7"/>
  <c r="G214" i="7"/>
  <c r="D206" i="7"/>
  <c r="P236" i="6"/>
  <c r="L236" i="6"/>
  <c r="E230" i="6" s="1"/>
  <c r="F230" i="6" s="1"/>
  <c r="H236" i="6"/>
  <c r="E229" i="6" s="1"/>
  <c r="F229" i="6" s="1"/>
  <c r="E231" i="6"/>
  <c r="F231" i="6" s="1"/>
  <c r="O187" i="6"/>
  <c r="K187" i="6"/>
  <c r="E181" i="6" s="1"/>
  <c r="F181" i="6" s="1"/>
  <c r="G187" i="6"/>
  <c r="E180" i="6" s="1"/>
  <c r="F180" i="6" s="1"/>
  <c r="E182" i="6"/>
  <c r="F182" i="6" s="1"/>
  <c r="O154" i="6"/>
  <c r="K154" i="6"/>
  <c r="E148" i="6" s="1"/>
  <c r="G154" i="6"/>
  <c r="E147" i="6" s="1"/>
  <c r="E149" i="6"/>
  <c r="F149" i="6" s="1"/>
  <c r="D148" i="6"/>
  <c r="D147" i="6"/>
  <c r="O126" i="6"/>
  <c r="E120" i="6" s="1"/>
  <c r="F120" i="6" s="1"/>
  <c r="K126" i="6"/>
  <c r="E119" i="6" s="1"/>
  <c r="F119" i="6" s="1"/>
  <c r="G126" i="6"/>
  <c r="E118" i="6" s="1"/>
  <c r="F118" i="6" s="1"/>
  <c r="T104" i="6"/>
  <c r="O104" i="6"/>
  <c r="J104" i="6"/>
  <c r="T97" i="6"/>
  <c r="O97" i="6"/>
  <c r="J97" i="6"/>
  <c r="L66" i="6"/>
  <c r="M66" i="6"/>
  <c r="L59" i="6"/>
  <c r="M59" i="6"/>
  <c r="F147" i="6" l="1"/>
  <c r="F148" i="6"/>
  <c r="H80" i="1" l="1"/>
  <c r="I20" i="5" l="1"/>
  <c r="F20" i="5"/>
  <c r="AN71" i="8" l="1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D48" i="5" l="1"/>
  <c r="E48" i="5"/>
  <c r="F26" i="5" l="1"/>
  <c r="J404" i="2"/>
  <c r="J400" i="2"/>
  <c r="J401" i="2"/>
  <c r="J399" i="2"/>
  <c r="J396" i="2"/>
  <c r="J397" i="2"/>
  <c r="J389" i="2" l="1"/>
  <c r="J405" i="2"/>
  <c r="J411" i="2"/>
  <c r="J412" i="2"/>
  <c r="L371" i="2"/>
  <c r="L368" i="2"/>
  <c r="L383" i="2"/>
  <c r="L384" i="2"/>
  <c r="L373" i="2" l="1"/>
  <c r="L372" i="2"/>
  <c r="L377" i="2"/>
  <c r="L381" i="2"/>
  <c r="L363" i="2"/>
  <c r="L370" i="2"/>
  <c r="L367" i="2"/>
  <c r="L366" i="2"/>
  <c r="L355" i="2" l="1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5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32" i="2"/>
  <c r="F630" i="7" l="1"/>
  <c r="F631" i="7"/>
  <c r="G631" i="7"/>
  <c r="G630" i="7"/>
  <c r="X518" i="7"/>
  <c r="X517" i="7"/>
  <c r="X556" i="7"/>
  <c r="H69" i="1"/>
  <c r="H55" i="1"/>
  <c r="H36" i="1"/>
  <c r="Q187" i="2" l="1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18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66" i="2"/>
  <c r="I71" i="2"/>
  <c r="I70" i="2"/>
  <c r="I69" i="2"/>
  <c r="I67" i="2"/>
  <c r="Q181" i="2" l="1"/>
  <c r="K62" i="2"/>
  <c r="K61" i="2"/>
  <c r="K60" i="2"/>
  <c r="K59" i="2"/>
  <c r="K52" i="2"/>
  <c r="K51" i="2" l="1"/>
  <c r="K50" i="2"/>
  <c r="K33" i="2" l="1"/>
  <c r="I43" i="2"/>
  <c r="K23" i="2"/>
  <c r="J301" i="2" l="1"/>
  <c r="J296" i="2"/>
  <c r="L79" i="6" l="1"/>
  <c r="K79" i="6"/>
  <c r="J79" i="6"/>
  <c r="I79" i="6"/>
  <c r="L77" i="6"/>
  <c r="K77" i="6"/>
  <c r="J77" i="6"/>
  <c r="I77" i="6"/>
  <c r="H273" i="5" l="1"/>
  <c r="E273" i="5"/>
  <c r="H272" i="5"/>
  <c r="F272" i="5"/>
  <c r="E272" i="5"/>
  <c r="H267" i="5"/>
  <c r="F267" i="5"/>
  <c r="E267" i="5"/>
  <c r="I25" i="5"/>
  <c r="F25" i="5"/>
  <c r="I22" i="5"/>
  <c r="I27" i="5" s="1"/>
  <c r="F22" i="5"/>
  <c r="F27" i="5" s="1"/>
  <c r="I19" i="5"/>
  <c r="F19" i="5"/>
  <c r="I18" i="5"/>
  <c r="I21" i="5" s="1"/>
  <c r="F18" i="5"/>
  <c r="H306" i="2"/>
  <c r="L287" i="2"/>
  <c r="M287" i="2"/>
  <c r="P267" i="2"/>
  <c r="O267" i="2"/>
  <c r="M267" i="2"/>
  <c r="L267" i="2"/>
  <c r="J267" i="2"/>
  <c r="I267" i="2"/>
  <c r="G267" i="2"/>
  <c r="F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P247" i="2"/>
  <c r="O247" i="2"/>
  <c r="M247" i="2"/>
  <c r="L247" i="2"/>
  <c r="J247" i="2"/>
  <c r="I247" i="2"/>
  <c r="G247" i="2"/>
  <c r="F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P201" i="2"/>
  <c r="O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M201" i="2"/>
  <c r="L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J201" i="2"/>
  <c r="I201" i="2"/>
  <c r="G201" i="2"/>
  <c r="F201" i="2"/>
  <c r="P181" i="2"/>
  <c r="O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M181" i="2"/>
  <c r="L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J181" i="2"/>
  <c r="I181" i="2"/>
  <c r="G181" i="2"/>
  <c r="F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F105" i="1"/>
  <c r="F104" i="1"/>
  <c r="G17" i="1"/>
  <c r="F17" i="1"/>
  <c r="E17" i="1"/>
  <c r="D17" i="1"/>
  <c r="F21" i="5" l="1"/>
  <c r="K287" i="2"/>
  <c r="H267" i="2"/>
  <c r="N201" i="2"/>
  <c r="N247" i="2"/>
  <c r="E267" i="2"/>
  <c r="E201" i="2"/>
  <c r="H247" i="2"/>
  <c r="K201" i="2"/>
  <c r="H201" i="2"/>
  <c r="K181" i="2"/>
  <c r="E247" i="2"/>
  <c r="K267" i="2"/>
  <c r="K247" i="2"/>
  <c r="E181" i="2"/>
  <c r="H181" i="2"/>
  <c r="N267" i="2"/>
  <c r="N181" i="2"/>
  <c r="K221" i="2"/>
  <c r="M35" i="6"/>
  <c r="O35" i="6"/>
  <c r="P35" i="6"/>
  <c r="M36" i="6"/>
  <c r="O36" i="6"/>
  <c r="P36" i="6"/>
  <c r="M34" i="6" l="1"/>
  <c r="P33" i="6"/>
  <c r="O33" i="6"/>
  <c r="M33" i="6"/>
  <c r="BA74" i="9" l="1"/>
  <c r="AZ74" i="9"/>
  <c r="BB69" i="9"/>
  <c r="BB68" i="9"/>
  <c r="BB67" i="9"/>
  <c r="BB66" i="9"/>
  <c r="BB65" i="9"/>
  <c r="BB64" i="9"/>
  <c r="BB63" i="9"/>
  <c r="BA57" i="9"/>
  <c r="AZ57" i="9"/>
  <c r="BB56" i="9"/>
  <c r="BB55" i="9"/>
  <c r="BB54" i="9"/>
  <c r="BB53" i="9"/>
  <c r="BB52" i="9"/>
  <c r="BB51" i="9"/>
  <c r="BB50" i="9"/>
  <c r="BB49" i="9"/>
  <c r="BB48" i="9"/>
  <c r="BB46" i="9"/>
  <c r="BA41" i="9"/>
  <c r="AZ41" i="9"/>
  <c r="BB40" i="9"/>
  <c r="BB39" i="9"/>
  <c r="BB38" i="9"/>
  <c r="BB37" i="9"/>
  <c r="BB36" i="9"/>
  <c r="BB35" i="9"/>
  <c r="BB33" i="9"/>
  <c r="BB32" i="9"/>
  <c r="BB31" i="9"/>
  <c r="BB30" i="9"/>
  <c r="BB25" i="9"/>
  <c r="BA25" i="9"/>
  <c r="AZ25" i="9"/>
  <c r="F691" i="7"/>
  <c r="F690" i="7"/>
  <c r="G689" i="7"/>
  <c r="F688" i="7"/>
  <c r="F683" i="7"/>
  <c r="F682" i="7"/>
  <c r="G672" i="7"/>
  <c r="G671" i="7"/>
  <c r="G670" i="7"/>
  <c r="F669" i="7"/>
  <c r="F666" i="7"/>
  <c r="F663" i="7"/>
  <c r="G662" i="7"/>
  <c r="G652" i="7"/>
  <c r="G649" i="7"/>
  <c r="G644" i="7"/>
  <c r="G643" i="7"/>
  <c r="G642" i="7"/>
  <c r="G639" i="7"/>
  <c r="F638" i="7"/>
  <c r="F633" i="7"/>
  <c r="F626" i="7"/>
  <c r="G625" i="7"/>
  <c r="F622" i="7"/>
  <c r="F618" i="7"/>
  <c r="F617" i="7"/>
  <c r="G614" i="7"/>
  <c r="G613" i="7"/>
  <c r="F611" i="7"/>
  <c r="F608" i="7"/>
  <c r="F603" i="7"/>
  <c r="G602" i="7"/>
  <c r="G600" i="7"/>
  <c r="F599" i="7"/>
  <c r="D30" i="7"/>
  <c r="K66" i="6"/>
  <c r="J66" i="6"/>
  <c r="I66" i="6"/>
  <c r="K59" i="6"/>
  <c r="J59" i="6"/>
  <c r="I59" i="6"/>
  <c r="J165" i="5"/>
  <c r="M86" i="5"/>
  <c r="L86" i="5"/>
  <c r="K86" i="5"/>
  <c r="J86" i="5"/>
  <c r="I86" i="5"/>
  <c r="K80" i="5"/>
  <c r="J80" i="5"/>
  <c r="I80" i="5"/>
  <c r="K65" i="5"/>
  <c r="J65" i="5"/>
  <c r="I65" i="5"/>
  <c r="G65" i="5"/>
  <c r="E65" i="5"/>
  <c r="M65" i="5"/>
  <c r="M59" i="5"/>
  <c r="K59" i="5"/>
  <c r="J59" i="5"/>
  <c r="I59" i="5"/>
  <c r="I49" i="5"/>
  <c r="F49" i="5"/>
  <c r="I40" i="5"/>
  <c r="F40" i="5"/>
  <c r="H39" i="5"/>
  <c r="D39" i="5"/>
  <c r="O94" i="4"/>
  <c r="O92" i="4"/>
  <c r="P91" i="4"/>
  <c r="O91" i="4"/>
  <c r="O80" i="4"/>
  <c r="P79" i="4"/>
  <c r="O79" i="4"/>
  <c r="P78" i="4"/>
  <c r="O78" i="4"/>
  <c r="P77" i="4"/>
  <c r="O77" i="4"/>
  <c r="P73" i="4"/>
  <c r="P72" i="4"/>
  <c r="O72" i="4"/>
  <c r="P68" i="4"/>
  <c r="O68" i="4"/>
  <c r="P64" i="4"/>
  <c r="O64" i="4"/>
  <c r="P47" i="4"/>
  <c r="O47" i="4"/>
  <c r="O45" i="4"/>
  <c r="P44" i="4"/>
  <c r="O44" i="4"/>
  <c r="O33" i="4"/>
  <c r="P32" i="4"/>
  <c r="O32" i="4"/>
  <c r="P31" i="4"/>
  <c r="O31" i="4"/>
  <c r="P30" i="4"/>
  <c r="O30" i="4"/>
  <c r="P26" i="4"/>
  <c r="O26" i="4"/>
  <c r="P25" i="4"/>
  <c r="O25" i="4"/>
  <c r="P21" i="4"/>
  <c r="O21" i="4"/>
  <c r="P17" i="4"/>
  <c r="O17" i="4"/>
  <c r="I384" i="2"/>
  <c r="I383" i="2"/>
  <c r="I355" i="2"/>
  <c r="I351" i="2"/>
  <c r="I349" i="2"/>
  <c r="I348" i="2"/>
  <c r="I342" i="2"/>
  <c r="I339" i="2"/>
  <c r="I338" i="2"/>
  <c r="I336" i="2"/>
  <c r="I335" i="2"/>
  <c r="I331" i="2"/>
  <c r="I328" i="2"/>
  <c r="I327" i="2"/>
  <c r="I326" i="2"/>
  <c r="I325" i="2"/>
  <c r="I319" i="2"/>
  <c r="I317" i="2"/>
  <c r="I315" i="2"/>
  <c r="I314" i="2"/>
  <c r="G306" i="2"/>
  <c r="F306" i="2"/>
  <c r="I301" i="2"/>
  <c r="H301" i="2"/>
  <c r="I296" i="2"/>
  <c r="H296" i="2"/>
  <c r="G296" i="2"/>
  <c r="F296" i="2"/>
  <c r="J287" i="2"/>
  <c r="I287" i="2"/>
  <c r="G287" i="2"/>
  <c r="F287" i="2"/>
  <c r="H286" i="2"/>
  <c r="E286" i="2"/>
  <c r="H285" i="2"/>
  <c r="E285" i="2"/>
  <c r="H284" i="2"/>
  <c r="E284" i="2"/>
  <c r="H283" i="2"/>
  <c r="E283" i="2"/>
  <c r="H282" i="2"/>
  <c r="E282" i="2"/>
  <c r="H281" i="2"/>
  <c r="E281" i="2"/>
  <c r="H280" i="2"/>
  <c r="E280" i="2"/>
  <c r="H279" i="2"/>
  <c r="E279" i="2"/>
  <c r="H278" i="2"/>
  <c r="E278" i="2"/>
  <c r="H277" i="2"/>
  <c r="E277" i="2"/>
  <c r="H276" i="2"/>
  <c r="E276" i="2"/>
  <c r="H275" i="2"/>
  <c r="E275" i="2"/>
  <c r="H274" i="2"/>
  <c r="E274" i="2"/>
  <c r="H273" i="2"/>
  <c r="E273" i="2"/>
  <c r="H272" i="2"/>
  <c r="E272" i="2"/>
  <c r="S267" i="2"/>
  <c r="R267" i="2"/>
  <c r="S247" i="2"/>
  <c r="R247" i="2"/>
  <c r="J221" i="2"/>
  <c r="I221" i="2"/>
  <c r="G221" i="2"/>
  <c r="F221" i="2"/>
  <c r="H220" i="2"/>
  <c r="E220" i="2"/>
  <c r="H219" i="2"/>
  <c r="E219" i="2"/>
  <c r="H218" i="2"/>
  <c r="E218" i="2"/>
  <c r="H217" i="2"/>
  <c r="E217" i="2"/>
  <c r="H216" i="2"/>
  <c r="E216" i="2"/>
  <c r="H215" i="2"/>
  <c r="E215" i="2"/>
  <c r="H214" i="2"/>
  <c r="E214" i="2"/>
  <c r="H213" i="2"/>
  <c r="E213" i="2"/>
  <c r="H212" i="2"/>
  <c r="E212" i="2"/>
  <c r="H211" i="2"/>
  <c r="E211" i="2"/>
  <c r="H210" i="2"/>
  <c r="E210" i="2"/>
  <c r="H209" i="2"/>
  <c r="E209" i="2"/>
  <c r="H208" i="2"/>
  <c r="E208" i="2"/>
  <c r="H207" i="2"/>
  <c r="E207" i="2"/>
  <c r="H206" i="2"/>
  <c r="E206" i="2"/>
  <c r="S201" i="2"/>
  <c r="R201" i="2"/>
  <c r="S181" i="2"/>
  <c r="R181" i="2"/>
  <c r="G70" i="2"/>
  <c r="G67" i="2"/>
  <c r="I62" i="2"/>
  <c r="I61" i="2"/>
  <c r="I59" i="2"/>
  <c r="I56" i="2"/>
  <c r="H54" i="2"/>
  <c r="I53" i="2"/>
  <c r="H53" i="2"/>
  <c r="I52" i="2"/>
  <c r="H52" i="2"/>
  <c r="I50" i="2"/>
  <c r="H50" i="2"/>
  <c r="H43" i="2"/>
  <c r="G43" i="2"/>
  <c r="J33" i="2"/>
  <c r="I33" i="2"/>
  <c r="H33" i="2"/>
  <c r="G33" i="2"/>
  <c r="J23" i="2"/>
  <c r="I23" i="2"/>
  <c r="H23" i="2"/>
  <c r="G23" i="2"/>
  <c r="F103" i="1"/>
  <c r="F102" i="1"/>
  <c r="F101" i="1"/>
  <c r="F100" i="1"/>
  <c r="F99" i="1"/>
  <c r="F98" i="1"/>
  <c r="F97" i="1"/>
  <c r="F96" i="1"/>
  <c r="G90" i="1"/>
  <c r="F90" i="1"/>
  <c r="E90" i="1"/>
  <c r="D90" i="1"/>
  <c r="H90" i="1"/>
  <c r="G80" i="1"/>
  <c r="F80" i="1"/>
  <c r="E80" i="1"/>
  <c r="D80" i="1"/>
  <c r="G69" i="1"/>
  <c r="F69" i="1"/>
  <c r="E69" i="1"/>
  <c r="D69" i="1"/>
  <c r="G55" i="1"/>
  <c r="F55" i="1"/>
  <c r="E55" i="1"/>
  <c r="D55" i="1"/>
  <c r="G36" i="1"/>
  <c r="F36" i="1"/>
  <c r="E36" i="1"/>
  <c r="D36" i="1"/>
  <c r="H17" i="1"/>
  <c r="H40" i="5" l="1"/>
  <c r="G40" i="5"/>
  <c r="G49" i="5"/>
  <c r="H49" i="5"/>
  <c r="F597" i="7"/>
  <c r="G597" i="7"/>
  <c r="G601" i="7"/>
  <c r="F601" i="7"/>
  <c r="F605" i="7"/>
  <c r="G605" i="7"/>
  <c r="G629" i="7"/>
  <c r="F629" i="7"/>
  <c r="G646" i="7"/>
  <c r="F646" i="7"/>
  <c r="F650" i="7"/>
  <c r="G650" i="7"/>
  <c r="F654" i="7"/>
  <c r="G654" i="7"/>
  <c r="G674" i="7"/>
  <c r="F674" i="7"/>
  <c r="G678" i="7"/>
  <c r="F678" i="7"/>
  <c r="G686" i="7"/>
  <c r="F686" i="7"/>
  <c r="F598" i="7"/>
  <c r="G598" i="7"/>
  <c r="G606" i="7"/>
  <c r="F606" i="7"/>
  <c r="F610" i="7"/>
  <c r="G610" i="7"/>
  <c r="F647" i="7"/>
  <c r="G647" i="7"/>
  <c r="G651" i="7"/>
  <c r="F651" i="7"/>
  <c r="G655" i="7"/>
  <c r="F655" i="7"/>
  <c r="G667" i="7"/>
  <c r="F667" i="7"/>
  <c r="G675" i="7"/>
  <c r="F675" i="7"/>
  <c r="G679" i="7"/>
  <c r="F679" i="7"/>
  <c r="G687" i="7"/>
  <c r="F687" i="7"/>
  <c r="F607" i="7"/>
  <c r="G607" i="7"/>
  <c r="F619" i="7"/>
  <c r="G619" i="7"/>
  <c r="G627" i="7"/>
  <c r="F627" i="7"/>
  <c r="G648" i="7"/>
  <c r="F648" i="7"/>
  <c r="F656" i="7"/>
  <c r="G656" i="7"/>
  <c r="F660" i="7"/>
  <c r="G660" i="7"/>
  <c r="G664" i="7"/>
  <c r="F664" i="7"/>
  <c r="G668" i="7"/>
  <c r="F668" i="7"/>
  <c r="F676" i="7"/>
  <c r="G676" i="7"/>
  <c r="G680" i="7"/>
  <c r="F680" i="7"/>
  <c r="G684" i="7"/>
  <c r="F684" i="7"/>
  <c r="G692" i="7"/>
  <c r="F692" i="7"/>
  <c r="G604" i="7"/>
  <c r="F604" i="7"/>
  <c r="F620" i="7"/>
  <c r="G637" i="7"/>
  <c r="F637" i="7"/>
  <c r="F645" i="7"/>
  <c r="G645" i="7"/>
  <c r="G653" i="7"/>
  <c r="F653" i="7"/>
  <c r="G657" i="7"/>
  <c r="F657" i="7"/>
  <c r="G661" i="7"/>
  <c r="F661" i="7"/>
  <c r="F665" i="7"/>
  <c r="G665" i="7"/>
  <c r="F673" i="7"/>
  <c r="G673" i="7"/>
  <c r="G677" i="7"/>
  <c r="F677" i="7"/>
  <c r="G681" i="7"/>
  <c r="F681" i="7"/>
  <c r="G693" i="7"/>
  <c r="F693" i="7"/>
  <c r="F276" i="5"/>
  <c r="H221" i="2"/>
  <c r="AZ26" i="9"/>
  <c r="E221" i="2"/>
  <c r="K716" i="7"/>
  <c r="BB74" i="9"/>
  <c r="BB75" i="9" s="1"/>
  <c r="Q267" i="2"/>
  <c r="E287" i="2"/>
  <c r="H287" i="2"/>
  <c r="BB41" i="9"/>
  <c r="BB42" i="9" s="1"/>
  <c r="K715" i="7"/>
  <c r="K719" i="7"/>
  <c r="BB57" i="9"/>
  <c r="BB58" i="9" s="1"/>
  <c r="L65" i="5"/>
  <c r="E271" i="5"/>
  <c r="H271" i="5" s="1"/>
  <c r="E276" i="5"/>
  <c r="BA26" i="9"/>
  <c r="BB26" i="9"/>
  <c r="G633" i="7"/>
  <c r="Q201" i="2"/>
  <c r="F632" i="7"/>
  <c r="G632" i="7"/>
  <c r="Q247" i="2"/>
  <c r="F641" i="7"/>
  <c r="G641" i="7"/>
  <c r="F649" i="7"/>
  <c r="F689" i="7"/>
  <c r="F640" i="7"/>
  <c r="G640" i="7"/>
  <c r="F652" i="7"/>
  <c r="F672" i="7"/>
  <c r="G688" i="7"/>
  <c r="F659" i="7"/>
  <c r="G659" i="7"/>
  <c r="G663" i="7"/>
  <c r="F671" i="7"/>
  <c r="G683" i="7"/>
  <c r="G691" i="7"/>
  <c r="G669" i="7"/>
  <c r="F685" i="7"/>
  <c r="G685" i="7"/>
  <c r="F644" i="7"/>
  <c r="F639" i="7"/>
  <c r="F643" i="7"/>
  <c r="G638" i="7"/>
  <c r="F642" i="7"/>
  <c r="F658" i="7"/>
  <c r="G658" i="7"/>
  <c r="F662" i="7"/>
  <c r="G666" i="7"/>
  <c r="F670" i="7"/>
  <c r="G682" i="7"/>
  <c r="G690" i="7"/>
  <c r="F602" i="7"/>
  <c r="F614" i="7"/>
  <c r="G618" i="7"/>
  <c r="G622" i="7"/>
  <c r="G609" i="7"/>
  <c r="F609" i="7"/>
  <c r="F613" i="7"/>
  <c r="G617" i="7"/>
  <c r="G621" i="7"/>
  <c r="F621" i="7"/>
  <c r="F625" i="7"/>
  <c r="F600" i="7"/>
  <c r="G608" i="7"/>
  <c r="F612" i="7"/>
  <c r="G612" i="7"/>
  <c r="G616" i="7"/>
  <c r="F616" i="7"/>
  <c r="F624" i="7"/>
  <c r="G624" i="7"/>
  <c r="G628" i="7"/>
  <c r="F628" i="7"/>
  <c r="G599" i="7"/>
  <c r="G603" i="7"/>
  <c r="G611" i="7"/>
  <c r="F615" i="7"/>
  <c r="G615" i="7"/>
  <c r="F623" i="7"/>
  <c r="G623" i="7"/>
  <c r="E59" i="5"/>
  <c r="X486" i="7"/>
  <c r="X499" i="7"/>
  <c r="X531" i="7"/>
  <c r="X535" i="7"/>
  <c r="X539" i="7"/>
  <c r="X492" i="7"/>
  <c r="X545" i="7"/>
  <c r="X488" i="7"/>
  <c r="X489" i="7"/>
  <c r="X493" i="7"/>
  <c r="X502" i="7"/>
  <c r="X506" i="7"/>
  <c r="X508" i="7"/>
  <c r="X549" i="7"/>
  <c r="X558" i="7"/>
  <c r="X542" i="7"/>
  <c r="X543" i="7"/>
  <c r="X546" i="7"/>
  <c r="X559" i="7"/>
  <c r="X512" i="7"/>
  <c r="X519" i="7"/>
  <c r="X530" i="7"/>
  <c r="X534" i="7"/>
  <c r="X538" i="7"/>
  <c r="X553" i="7"/>
  <c r="X498" i="7"/>
  <c r="X500" i="7"/>
  <c r="X484" i="7"/>
  <c r="X497" i="7"/>
  <c r="X511" i="7"/>
  <c r="X514" i="7"/>
  <c r="X490" i="7"/>
  <c r="X491" i="7"/>
  <c r="X495" i="7"/>
  <c r="X503" i="7"/>
  <c r="X507" i="7"/>
  <c r="X510" i="7"/>
  <c r="X485" i="7"/>
  <c r="X487" i="7"/>
  <c r="X494" i="7"/>
  <c r="X496" i="7"/>
  <c r="X501" i="7"/>
  <c r="X504" i="7"/>
  <c r="X505" i="7"/>
  <c r="X515" i="7"/>
  <c r="X541" i="7"/>
  <c r="X544" i="7"/>
  <c r="X562" i="7"/>
  <c r="X566" i="7"/>
  <c r="X570" i="7"/>
  <c r="X520" i="7"/>
  <c r="X529" i="7"/>
  <c r="X533" i="7"/>
  <c r="X537" i="7"/>
  <c r="X550" i="7"/>
  <c r="X554" i="7"/>
  <c r="X561" i="7"/>
  <c r="X565" i="7"/>
  <c r="X569" i="7"/>
  <c r="X573" i="7"/>
  <c r="X532" i="7"/>
  <c r="X536" i="7"/>
  <c r="X540" i="7"/>
  <c r="X560" i="7"/>
  <c r="X564" i="7"/>
  <c r="X568" i="7"/>
  <c r="X572" i="7"/>
  <c r="X509" i="7"/>
  <c r="X513" i="7"/>
  <c r="X516" i="7"/>
  <c r="X547" i="7"/>
  <c r="X548" i="7"/>
  <c r="X551" i="7"/>
  <c r="X552" i="7"/>
  <c r="X555" i="7"/>
  <c r="X557" i="7"/>
  <c r="X563" i="7"/>
  <c r="X567" i="7"/>
  <c r="X571" i="7"/>
  <c r="X583" i="7"/>
  <c r="X581" i="7"/>
  <c r="X574" i="7"/>
  <c r="X575" i="7"/>
  <c r="X576" i="7"/>
  <c r="X577" i="7"/>
  <c r="X578" i="7"/>
  <c r="X579" i="7"/>
  <c r="X585" i="7"/>
  <c r="X580" i="7"/>
  <c r="X582" i="7"/>
  <c r="X584" i="7"/>
  <c r="H276" i="5" l="1"/>
  <c r="AZ58" i="9"/>
  <c r="BA58" i="9"/>
  <c r="AZ75" i="9"/>
  <c r="BA75" i="9"/>
  <c r="K707" i="7"/>
  <c r="K703" i="7"/>
  <c r="BA42" i="9"/>
  <c r="AZ42" i="9"/>
  <c r="G59" i="5"/>
  <c r="L59" i="5"/>
</calcChain>
</file>

<file path=xl/sharedStrings.xml><?xml version="1.0" encoding="utf-8"?>
<sst xmlns="http://schemas.openxmlformats.org/spreadsheetml/2006/main" count="7102" uniqueCount="1484">
  <si>
    <t>Grau en CAFE (71046) Pla 2012</t>
  </si>
  <si>
    <t>Taula 1. Evolució dels estudiants matriculats</t>
  </si>
  <si>
    <t>Titulació</t>
  </si>
  <si>
    <t>Estudiants matriculats</t>
  </si>
  <si>
    <t>2017-18</t>
  </si>
  <si>
    <t>2018-19</t>
  </si>
  <si>
    <t>2019-20</t>
  </si>
  <si>
    <t>Grau en CAFE</t>
  </si>
  <si>
    <t>Grau en Fisioteràpia</t>
  </si>
  <si>
    <t>Doble titulació</t>
  </si>
  <si>
    <t>x</t>
  </si>
  <si>
    <t xml:space="preserve">Total </t>
  </si>
  <si>
    <t>Font: Càlculs propis</t>
  </si>
  <si>
    <t>Estudiants matriculats Grau en CAFE</t>
  </si>
  <si>
    <t>Promoció 2012-2016</t>
  </si>
  <si>
    <t>Promoció 2013-2017</t>
  </si>
  <si>
    <t>Promoció 2014-2018</t>
  </si>
  <si>
    <t>Promoció 2015 - 2019</t>
  </si>
  <si>
    <t>Promoció 2016 - 2020</t>
  </si>
  <si>
    <t>Promoció 2017 - 2021</t>
  </si>
  <si>
    <t>Promoció 2018 - 2022</t>
  </si>
  <si>
    <t>Promoció 2019 - 2023</t>
  </si>
  <si>
    <t>Estudiants matriculats Grau en Fisioteràpia</t>
  </si>
  <si>
    <t>X</t>
  </si>
  <si>
    <t>Taula 1.2. Evolució del nombre de titulats</t>
  </si>
  <si>
    <t>Titulats</t>
  </si>
  <si>
    <t>Professorat</t>
  </si>
  <si>
    <t>CAFE</t>
  </si>
  <si>
    <t>Homes</t>
  </si>
  <si>
    <t>Dones</t>
  </si>
  <si>
    <t>Taula 3. Indicadors del procés d’admissió d’estudiants a grau</t>
  </si>
  <si>
    <t>Indicador</t>
  </si>
  <si>
    <t>Places ofertes</t>
  </si>
  <si>
    <t>Demanda en 1a opció</t>
  </si>
  <si>
    <t>Ràtio oferta-demanda en 1a opció</t>
  </si>
  <si>
    <t>50/17= 2,94</t>
  </si>
  <si>
    <t>50/21= 2,38</t>
  </si>
  <si>
    <t xml:space="preserve">Demanda 1a-3a opció </t>
  </si>
  <si>
    <t>Demanda total</t>
  </si>
  <si>
    <t>Ingressos</t>
  </si>
  <si>
    <t>Nombre d'ingressos 1a opció</t>
  </si>
  <si>
    <t>% Ingressos 1a opció</t>
  </si>
  <si>
    <t>Font: Oficina d'Orientació per a l'Accés a la Universitat. Càlculs propis</t>
  </si>
  <si>
    <t>Taula 4.  Percentatge d’estudiants matriculats de nou ingrés segons via d’accés</t>
  </si>
  <si>
    <t>Via accés </t>
  </si>
  <si>
    <t>Proves d'accés a la Universitat (PAU) o assimilats</t>
  </si>
  <si>
    <t>Llicenciats, diplomats o assimilats</t>
  </si>
  <si>
    <t>Títol d'FP2, MP3 o CFGS i assimilats</t>
  </si>
  <si>
    <t>PAU i assimilats que tenen començats estudis universitaris</t>
  </si>
  <si>
    <t>FP2 o CFGS i assimilats que tenen començats estudis universitaris</t>
  </si>
  <si>
    <t>Més grans de 25 anys</t>
  </si>
  <si>
    <t>Taula 5. Nota mitjana d'accés dels estudiants matriculats, segons via</t>
  </si>
  <si>
    <t>-</t>
  </si>
  <si>
    <t>Nota d'accés promig</t>
  </si>
  <si>
    <t>Nota d'entrada a la titulació (nota de tall)</t>
  </si>
  <si>
    <t>Taula 6. Percentatge d’alumnes de nou ingrés matriculats per intervals de crèdits ordinaris matriculats</t>
  </si>
  <si>
    <t>Nombre de crèdits matriculats </t>
  </si>
  <si>
    <t>Matrícules amb crèdits ordinaris &gt;0 i &lt;30</t>
  </si>
  <si>
    <t>Matrícules amb crèdits ordinaris &gt;=30 i &lt;60</t>
  </si>
  <si>
    <t>Matrícules amb crèdits ordinaris &gt;=60 i &lt;90</t>
  </si>
  <si>
    <t>Taula 7. Percentatge d’alumnes de nou ingrés segons interval de nota d’accés</t>
  </si>
  <si>
    <t>Interval nota accés</t>
  </si>
  <si>
    <t>[5,6)</t>
  </si>
  <si>
    <t>[6,7)</t>
  </si>
  <si>
    <t>[7,8)</t>
  </si>
  <si>
    <t>[8,9)</t>
  </si>
  <si>
    <t>[9,10)</t>
  </si>
  <si>
    <t>(10,14]</t>
  </si>
  <si>
    <t>Font: Elaboració pròpia</t>
  </si>
  <si>
    <t>Grup Edat</t>
  </si>
  <si>
    <t>TOTAL</t>
  </si>
  <si>
    <t>&lt;=18</t>
  </si>
  <si>
    <t>[30-34]</t>
  </si>
  <si>
    <t>[35-39]</t>
  </si>
  <si>
    <t>&gt;=40</t>
  </si>
  <si>
    <t xml:space="preserve">Titulació </t>
  </si>
  <si>
    <t>Temps complert</t>
  </si>
  <si>
    <t>Temps parcial</t>
  </si>
  <si>
    <t>Total</t>
  </si>
  <si>
    <t>Província familiar</t>
  </si>
  <si>
    <t>Comarca familiar</t>
  </si>
  <si>
    <t>Estudiants matriculats (%)</t>
  </si>
  <si>
    <t>Barcelona</t>
  </si>
  <si>
    <t>Alt Penedès</t>
  </si>
  <si>
    <t>Anoia</t>
  </si>
  <si>
    <t>Baix Llobregat</t>
  </si>
  <si>
    <t>Barcelonés</t>
  </si>
  <si>
    <t>Garraf</t>
  </si>
  <si>
    <t>Maresme</t>
  </si>
  <si>
    <t>Osona</t>
  </si>
  <si>
    <t>Vallés Occidental</t>
  </si>
  <si>
    <t>Vallés Oriental</t>
  </si>
  <si>
    <t>Tarragona</t>
  </si>
  <si>
    <t>Alt Camp</t>
  </si>
  <si>
    <t>Baix Camp</t>
  </si>
  <si>
    <t>Baix Ebre</t>
  </si>
  <si>
    <t>Baix Penedès</t>
  </si>
  <si>
    <t>Montsià</t>
  </si>
  <si>
    <t>Priorat</t>
  </si>
  <si>
    <t>Ribera d'Ebre</t>
  </si>
  <si>
    <t>Tarragonès</t>
  </si>
  <si>
    <t>Girona</t>
  </si>
  <si>
    <t>Alt Empordà</t>
  </si>
  <si>
    <t>Baix Empordà</t>
  </si>
  <si>
    <t>Gironès</t>
  </si>
  <si>
    <t>Lleida</t>
  </si>
  <si>
    <t>Segrià</t>
  </si>
  <si>
    <t>Noguera</t>
  </si>
  <si>
    <t>Castelló</t>
  </si>
  <si>
    <t>Baix Maestrat</t>
  </si>
  <si>
    <t>Plana Alta</t>
  </si>
  <si>
    <t>Fuerteventura</t>
  </si>
  <si>
    <t>Alicant</t>
  </si>
  <si>
    <t>Marina Alta</t>
  </si>
  <si>
    <t>Navarra</t>
  </si>
  <si>
    <t>Menorca</t>
  </si>
  <si>
    <t>Mallorca</t>
  </si>
  <si>
    <t>Fora d'Espanya</t>
  </si>
  <si>
    <t>Alt Penedés</t>
  </si>
  <si>
    <t>Bages</t>
  </si>
  <si>
    <t>Barcelonès</t>
  </si>
  <si>
    <t>El Maresme</t>
  </si>
  <si>
    <t>Conca de Barberà</t>
  </si>
  <si>
    <t>Terra Alta</t>
  </si>
  <si>
    <t>Segria</t>
  </si>
  <si>
    <t>Pla d'Urgell</t>
  </si>
  <si>
    <t xml:space="preserve">Girona </t>
  </si>
  <si>
    <t>Garrotxa</t>
  </si>
  <si>
    <t>Gironés</t>
  </si>
  <si>
    <t>Selva</t>
  </si>
  <si>
    <t>Altres CCAA</t>
  </si>
  <si>
    <t>Altres (fora d'Espanya)</t>
  </si>
  <si>
    <t>DIMENSIÓ</t>
  </si>
  <si>
    <t>CONTINGUTS</t>
  </si>
  <si>
    <t>ENLLAÇ</t>
  </si>
  <si>
    <t>ACCÉS ALS ESTUDIS</t>
  </si>
  <si>
    <t>Assignatures o proves especials que possibiliten la millora de la nota d’accés (Si escau)</t>
  </si>
  <si>
    <t>Calendari de preinscripció</t>
  </si>
  <si>
    <t>Perfil recomanat</t>
  </si>
  <si>
    <t>Objectius</t>
  </si>
  <si>
    <t>Competències</t>
  </si>
  <si>
    <t>Trasllat d'expedient</t>
  </si>
  <si>
    <t>Beques i ajuts</t>
  </si>
  <si>
    <t>MATRÍCULA</t>
  </si>
  <si>
    <t>Terminis</t>
  </si>
  <si>
    <t>Documentació</t>
  </si>
  <si>
    <t>Formalització</t>
  </si>
  <si>
    <t>Preus</t>
  </si>
  <si>
    <t>Reconeixement de crèdits</t>
  </si>
  <si>
    <t>Orientació universitària</t>
  </si>
  <si>
    <t>PLANIFICACIÓ OPERATIVA DEL CURS</t>
  </si>
  <si>
    <t>Ensenyaments</t>
  </si>
  <si>
    <t>Assignatures (Informació; Professors; Horaris i dates d'exàmens)</t>
  </si>
  <si>
    <t>Laboratoris (si escau)</t>
  </si>
  <si>
    <t>Biblioteca</t>
  </si>
  <si>
    <t>Pla d’Acció Tutorial</t>
  </si>
  <si>
    <t>PROFESSORAT</t>
  </si>
  <si>
    <t>PRÀCTIQUES EXTERNES</t>
  </si>
  <si>
    <t>PROGRAMES DE MOBILITAT</t>
  </si>
  <si>
    <t>TREBALL FI DE GRAU</t>
  </si>
  <si>
    <t>GARANTIA DE LA QUALITAT</t>
  </si>
  <si>
    <t>Memòria de verificació</t>
  </si>
  <si>
    <t>Informes de seguiment de titulació</t>
  </si>
  <si>
    <t>Taxes i indicadors sobre demanda i desenvolupament de la titulació</t>
  </si>
  <si>
    <t>Enllaç a EUC Estudis (Coneix la Qualitat)</t>
  </si>
  <si>
    <t>Enllaç a la pàgina dels títols al RUCT</t>
  </si>
  <si>
    <t>Id.</t>
  </si>
  <si>
    <t>Instrument /Mecanisme (1)</t>
  </si>
  <si>
    <t>Dimensions o ítems de satisfacció inclosos</t>
  </si>
  <si>
    <t>Abast</t>
  </si>
  <si>
    <t>Format</t>
  </si>
  <si>
    <t>Periodicitat</t>
  </si>
  <si>
    <t>Últimes dades disponibles</t>
  </si>
  <si>
    <t>Estàndards d’acreditació relacionats</t>
  </si>
  <si>
    <t>18-19</t>
  </si>
  <si>
    <t>19-20</t>
  </si>
  <si>
    <t>Estudiants</t>
  </si>
  <si>
    <t>ENQUESTA ESTUDIANT DE GRAU DE PRIMER CURS</t>
  </si>
  <si>
    <t>●Experiència educativa</t>
  </si>
  <si>
    <t>Grau</t>
  </si>
  <si>
    <t>Virtual</t>
  </si>
  <si>
    <t>Anual</t>
  </si>
  <si>
    <t>Últim curs finalitzat</t>
  </si>
  <si>
    <t>E1</t>
  </si>
  <si>
    <t>E2</t>
  </si>
  <si>
    <t>E5</t>
  </si>
  <si>
    <t xml:space="preserve">●Altres dimensions del programa formatiu i serveis (2)  </t>
  </si>
  <si>
    <t>E6</t>
  </si>
  <si>
    <t>ENQUESTA ESTUDIANT DE GRAU DURANT</t>
  </si>
  <si>
    <t>"PROFESSORAT" ENQUESTA ASSIGNATURA GRAU</t>
  </si>
  <si>
    <t>●Actuació docent del professorat</t>
  </si>
  <si>
    <t>Quadrimestral</t>
  </si>
  <si>
    <t>E4</t>
  </si>
  <si>
    <t>ENQUESTA ASSIGNATURA GRAU</t>
  </si>
  <si>
    <t>PE-ENQUESTA ASSIGNATURA GRAU</t>
  </si>
  <si>
    <t xml:space="preserve">●Execucions clau </t>
  </si>
  <si>
    <t>TFG-ENQUESTA ASSIGNATURA GRAU</t>
  </si>
  <si>
    <t>Professorat i responsable de la titulació</t>
  </si>
  <si>
    <t>●Estructura del pla d’estudis (matèries i el seu pes).</t>
  </si>
  <si>
    <t>●Perfil de competències (resultats d’aprenentatge previstos) de la titulació.</t>
  </si>
  <si>
    <t>●Perfil dels estudiants que han accedit a la titulació.</t>
  </si>
  <si>
    <t>●Organització del desplegament del pla d’estudis (grups, horaris, etc.).</t>
  </si>
  <si>
    <t>●Coordinació docent i la comunicació interna.</t>
  </si>
  <si>
    <t>●Metodologies docents i les estratègies d’avaluació.</t>
  </si>
  <si>
    <t>●Recursos docents disponibles.</t>
  </si>
  <si>
    <t>●Treball i la dedicació dels estudiants.</t>
  </si>
  <si>
    <t>●Resultats de l’aprenentatge obtinguts pels estudiants.</t>
  </si>
  <si>
    <r>
      <t>●Altres dimensions del programa formatiu i serveis (2)</t>
    </r>
    <r>
      <rPr>
        <sz val="8"/>
        <color rgb="FF000000"/>
        <rFont val="Verdana"/>
        <family val="2"/>
      </rPr>
      <t xml:space="preserve">  </t>
    </r>
  </si>
  <si>
    <t>●Altres dimensions del programa formatiu i serveis (2)</t>
  </si>
  <si>
    <t>Graduats</t>
  </si>
  <si>
    <t>ENQUESTA ESTUDIANT DE GRAU QUAN ACABEN</t>
  </si>
  <si>
    <t xml:space="preserve">●Formació rebuda </t>
  </si>
  <si>
    <t>●Formació rebuda</t>
  </si>
  <si>
    <t>Trianual</t>
  </si>
  <si>
    <t>●Ocupació i la satisfacció de l’ocupació.</t>
  </si>
  <si>
    <t xml:space="preserve">Telefònica </t>
  </si>
  <si>
    <t>Llegenda:</t>
  </si>
  <si>
    <t>(1) Cal identificar l’enquesta o els altres procediments emprats, com per exemple grups de discussió, informes de comissions, etc.</t>
  </si>
  <si>
    <t>(2) Inclou: PAT, serveis d’orientació professional, serveis bibliotecaris, instal·lacions docents i altres serveis especialitzats.</t>
  </si>
  <si>
    <t>Nre. PDI</t>
  </si>
  <si>
    <t>% PDI doctor</t>
  </si>
  <si>
    <t>% Hores impartides PDI doctor</t>
  </si>
  <si>
    <t>Mitjana edat</t>
  </si>
  <si>
    <t>% dones</t>
  </si>
  <si>
    <t xml:space="preserve">Font: Elaboració pròpia. ACRG15: Perfil general del professorat de les titulacions de grau per categoria, edat i sexe.
ACRM13: Perfil general del professorat de les titulacions de grau per categoria, edat i sexe.
</t>
  </si>
  <si>
    <t>Categoria</t>
  </si>
  <si>
    <t>% PDI</t>
  </si>
  <si>
    <t>Total  Nre. PDI</t>
  </si>
  <si>
    <t>% Hores impartides</t>
  </si>
  <si>
    <t>Total Hores Impartides</t>
  </si>
  <si>
    <t>No Doctor</t>
  </si>
  <si>
    <t>Doctor</t>
  </si>
  <si>
    <t>Professor Agregat</t>
  </si>
  <si>
    <t>Professor Adjunt</t>
  </si>
  <si>
    <t>Professor Ajudant</t>
  </si>
  <si>
    <t>Professor col·laborador</t>
  </si>
  <si>
    <t>Permanents 1</t>
  </si>
  <si>
    <t>Permanents 2</t>
  </si>
  <si>
    <t>Lectors</t>
  </si>
  <si>
    <t>Associats</t>
  </si>
  <si>
    <t>Altres</t>
  </si>
  <si>
    <r>
      <t>% Professorat acreditat</t>
    </r>
    <r>
      <rPr>
        <sz val="8"/>
        <color theme="1"/>
        <rFont val="Calibri"/>
        <family val="2"/>
        <scheme val="minor"/>
      </rPr>
      <t> </t>
    </r>
  </si>
  <si>
    <t>Doctors</t>
  </si>
  <si>
    <t>No doctors</t>
  </si>
  <si>
    <t>ACRM14: Professorat i hores impartides segons categoria del PDI i doctorat en estudis de màster.</t>
  </si>
  <si>
    <t>Permanents 1: professorat permanent per al qual és necessari ser doctor (CC, CU, CEU, TU, agregat i assimilables en centres privats).</t>
  </si>
  <si>
    <t>Permanents 2: professorat permanent per al qual no és necessari ser doctor (TEU, col·laboradors i assimilables en centres privats).</t>
  </si>
  <si>
    <r>
      <t>Altres:</t>
    </r>
    <r>
      <rPr>
        <sz val="10.5"/>
        <color theme="1"/>
        <rFont val="Calibri"/>
        <family val="2"/>
        <scheme val="minor"/>
      </rPr>
      <t xml:space="preserve"> </t>
    </r>
    <r>
      <rPr>
        <sz val="8"/>
        <color rgb="FF000000"/>
        <rFont val="Verdana"/>
        <family val="2"/>
      </rPr>
      <t>professorat visitant, becaris, etc.</t>
    </r>
  </si>
  <si>
    <t>El professorat funcionari (CU, TU, CEU i TEU) es considerarà acreditat</t>
  </si>
  <si>
    <t>Id Assignatura</t>
  </si>
  <si>
    <t>Assignatura</t>
  </si>
  <si>
    <t>Curs</t>
  </si>
  <si>
    <t>Tipus</t>
  </si>
  <si>
    <t>ECTS</t>
  </si>
  <si>
    <t>Alumnes matriculats</t>
  </si>
  <si>
    <t>Professor</t>
  </si>
  <si>
    <t>Hores impartides</t>
  </si>
  <si>
    <t>% ECTS</t>
  </si>
  <si>
    <t>Nre. Grups</t>
  </si>
  <si>
    <t>Anatomia aplicada a l'Activitat física i a l'Esport</t>
  </si>
  <si>
    <t>1r</t>
  </si>
  <si>
    <t>Formació bàsica</t>
  </si>
  <si>
    <t>Dr. José Vicente Beltrán</t>
  </si>
  <si>
    <t>Professor agregat</t>
  </si>
  <si>
    <t>Fisiologia de l'Exercici I</t>
  </si>
  <si>
    <t>Dr. Xavier Franch</t>
  </si>
  <si>
    <t>Professor col·laborador doctor acreditat</t>
  </si>
  <si>
    <t>Fisiologia de l'Exercici II</t>
  </si>
  <si>
    <t>2n</t>
  </si>
  <si>
    <t>Kinesiologia i biomecànica del moviment</t>
  </si>
  <si>
    <t>Sr. Joaquim Guasch</t>
  </si>
  <si>
    <t>Professor col·laborador llicenciat</t>
  </si>
  <si>
    <t>Psicologia aplicada a l'Activitat Física i a l'Esport</t>
  </si>
  <si>
    <t>Desenvolupament motor i iniciació esportiva</t>
  </si>
  <si>
    <t>Dr. Gerson Garrosa</t>
  </si>
  <si>
    <t>Professor adjunt</t>
  </si>
  <si>
    <t>Estadística i metodologia de la investigació aplicada a l'Activitat Física</t>
  </si>
  <si>
    <t>Principis didàctics de l'Activitat Física i l'Esport</t>
  </si>
  <si>
    <t>Programació en els ensenyaments en el sistema educatiu</t>
  </si>
  <si>
    <t>Sr. Pau Cecília</t>
  </si>
  <si>
    <t>Professor ajudant llicenciat</t>
  </si>
  <si>
    <t>Història i fonaments sòcio-culturals de l'Activitat Física i l'Esport</t>
  </si>
  <si>
    <t>Sr. Jesús Martí</t>
  </si>
  <si>
    <t>Jocs i habilitats motrius bàsiques</t>
  </si>
  <si>
    <t>Obligatòria</t>
  </si>
  <si>
    <t>Dansa i expressió corporal</t>
  </si>
  <si>
    <t>Activitat Física a la natura</t>
  </si>
  <si>
    <t>3r</t>
  </si>
  <si>
    <t>Esports individuals</t>
  </si>
  <si>
    <t>Esports aquàtics</t>
  </si>
  <si>
    <t>Sr. Xavier Nadal</t>
  </si>
  <si>
    <t>Esports d'adversari</t>
  </si>
  <si>
    <t>Sr. Artur Bel</t>
  </si>
  <si>
    <t>Esports col·lectius</t>
  </si>
  <si>
    <t>Sr. Guillermo Camarero</t>
  </si>
  <si>
    <t>Professor col·laborador graduat</t>
  </si>
  <si>
    <t>Ampliació dels esports</t>
  </si>
  <si>
    <t>Teoria de l'entrenament I</t>
  </si>
  <si>
    <t>Teoria de l'entrenament II</t>
  </si>
  <si>
    <t>Teoria de l'entrenament III</t>
  </si>
  <si>
    <t>4t</t>
  </si>
  <si>
    <t>Prescripció de l'exercici físic per a la salut</t>
  </si>
  <si>
    <t>Nutrició aplicada a l'Activitat Física i l'Esport</t>
  </si>
  <si>
    <t>Primers auxilis</t>
  </si>
  <si>
    <t>Professor col·laborador doctor</t>
  </si>
  <si>
    <t>Mitjans i mètodes de recuperació</t>
  </si>
  <si>
    <t>Legislació esportiva i direcció de sistemes i organitzacions</t>
  </si>
  <si>
    <t>Sr. Ramon Cuadrat</t>
  </si>
  <si>
    <t>Bases econòmic-financeres i de contractació</t>
  </si>
  <si>
    <t>Instal·lacions esportives</t>
  </si>
  <si>
    <t>Sr. Felip Carles</t>
  </si>
  <si>
    <t>Sr. Gerard Monguió</t>
  </si>
  <si>
    <t>Recreació, oci i turisme</t>
  </si>
  <si>
    <t>Disseny, intervenció i avaluació el l'Educació Física i l'Esport</t>
  </si>
  <si>
    <t>Activitat Física i Esport per a persones amb alguna discapacitat</t>
  </si>
  <si>
    <t>Sr. Marc Cumplí</t>
  </si>
  <si>
    <t>Noves tendències en l'entrenament esportiu (Rendiment-Readaptació a l'esforç)</t>
  </si>
  <si>
    <t>Optativa</t>
  </si>
  <si>
    <t>Noves tendències en la gestió i la recreació esportiva (Gestió)</t>
  </si>
  <si>
    <t>Treball de Fi de Grau</t>
  </si>
  <si>
    <t>Pràctiques externes</t>
  </si>
  <si>
    <t>Explica els continguts amb claredat.</t>
  </si>
  <si>
    <t>Compleix amb l'horari de classe i d'atenció personalitzada fora de l'aula.</t>
  </si>
  <si>
    <t>Globalment considero que és un/a bon/a professor/a</t>
  </si>
  <si>
    <t>Pregunta</t>
  </si>
  <si>
    <t>SUPORT AL PROFESSORAT</t>
  </si>
  <si>
    <t>Codi</t>
  </si>
  <si>
    <t>Activitat</t>
  </si>
  <si>
    <t>Hores</t>
  </si>
  <si>
    <t>Data inici</t>
  </si>
  <si>
    <t>Data final</t>
  </si>
  <si>
    <t xml:space="preserve">Curs </t>
  </si>
  <si>
    <t>Nom projecte</t>
  </si>
  <si>
    <t>Inici</t>
  </si>
  <si>
    <t>Fi</t>
  </si>
  <si>
    <t>Coordinador</t>
  </si>
  <si>
    <t>Participants</t>
  </si>
  <si>
    <t>PDI</t>
  </si>
  <si>
    <t>Durada (dies)</t>
  </si>
  <si>
    <t>País de destí</t>
  </si>
  <si>
    <t>Institució de destí</t>
  </si>
  <si>
    <t>Anatomia I</t>
  </si>
  <si>
    <t>Dra. Núria Besalduch</t>
  </si>
  <si>
    <t>Dra. Míriam Ejarque</t>
  </si>
  <si>
    <t>Sr. Jordi Castellano</t>
  </si>
  <si>
    <t>Professor ajudant graduat</t>
  </si>
  <si>
    <t>Sra. Irene Mutlló</t>
  </si>
  <si>
    <t>Anatomia II</t>
  </si>
  <si>
    <t>Fisiologia I</t>
  </si>
  <si>
    <t xml:space="preserve">Física </t>
  </si>
  <si>
    <t>Dr. Pere Panisello</t>
  </si>
  <si>
    <t>Bases de comunicació i ètica</t>
  </si>
  <si>
    <t>Dra. Marta Hernández</t>
  </si>
  <si>
    <t>Bases de documentació i educació</t>
  </si>
  <si>
    <t>Sra. Elsa Pla</t>
  </si>
  <si>
    <t>Fonaments de fisioteràpia</t>
  </si>
  <si>
    <t>Sra. Tània Perales</t>
  </si>
  <si>
    <t>Procediments generals en fisioteràpia I</t>
  </si>
  <si>
    <t>Procediments generals en fisioteràpia II</t>
  </si>
  <si>
    <t>Valoració en fisioteràpia I</t>
  </si>
  <si>
    <t>Sr. Joaquim Renau</t>
  </si>
  <si>
    <t>Fisiologia II</t>
  </si>
  <si>
    <t>Dr. Amat Ortí</t>
  </si>
  <si>
    <t>Patologia quirúrgica</t>
  </si>
  <si>
    <t>Biomecànica clínica</t>
  </si>
  <si>
    <t>Psicologia</t>
  </si>
  <si>
    <t>Fisioterapia Integrada I</t>
  </si>
  <si>
    <t>Bioestadística</t>
  </si>
  <si>
    <t>Procediments generals en fisioteràpia III</t>
  </si>
  <si>
    <t>Sr. Francesc Múria</t>
  </si>
  <si>
    <t>Cinesiteràpia</t>
  </si>
  <si>
    <t>Mètodes específics  d'Intervenció en Fisioteràpia I</t>
  </si>
  <si>
    <t>Valoració en fisioteràpia II</t>
  </si>
  <si>
    <t>Sra. Alba Aixendri</t>
  </si>
  <si>
    <t>Fisioteràpia en especialitats clíniques I</t>
  </si>
  <si>
    <t>Sra. Yolanda Vergés</t>
  </si>
  <si>
    <t>Pràctiques clíniques I</t>
  </si>
  <si>
    <t>Fisioteràpia cardiorespiratòria</t>
  </si>
  <si>
    <t>Sr. Jordi Resa</t>
  </si>
  <si>
    <t>Fisioteràpia integrada II</t>
  </si>
  <si>
    <t>Mètodes específics d'intervenció en fisioteràpia  III</t>
  </si>
  <si>
    <t>Sr. Laura Miralles</t>
  </si>
  <si>
    <t xml:space="preserve">Radiologia </t>
  </si>
  <si>
    <t xml:space="preserve">Farmacologia </t>
  </si>
  <si>
    <t>Dr. Xavier Ortín</t>
  </si>
  <si>
    <t>Fisioteràpia en especialitats clíniques II</t>
  </si>
  <si>
    <t>Mètodes específics d'intervenció en fisioteràpia  II</t>
  </si>
  <si>
    <t>Patologia mèdica</t>
  </si>
  <si>
    <t>Pràctiques clíniques II</t>
  </si>
  <si>
    <t>Rehabilitació i terapèutiques associades</t>
  </si>
  <si>
    <t>Sr. Juan Francisco Sales</t>
  </si>
  <si>
    <t>Desenvolupament d'un projecte de recerca</t>
  </si>
  <si>
    <t>Nutrició i activitat física</t>
  </si>
  <si>
    <t>Fisioteràpia de L’Esport I</t>
  </si>
  <si>
    <t xml:space="preserve">Legislació Sanitària </t>
  </si>
  <si>
    <t>Salut Pública</t>
  </si>
  <si>
    <t>Organització i Gestió Sanitaria</t>
  </si>
  <si>
    <t xml:space="preserve">  4t</t>
  </si>
  <si>
    <t>Fisioteràpia Integrada III</t>
  </si>
  <si>
    <t>Fisioteràpia Hospitalària</t>
  </si>
  <si>
    <t>Fisioteràpia Geriàtrica</t>
  </si>
  <si>
    <t>Fisioteràpia Domiciliària</t>
  </si>
  <si>
    <t>Atenció Primària</t>
  </si>
  <si>
    <t>Pràctiques opcional</t>
  </si>
  <si>
    <t>Introducció a la teràpia manipulativa perifèrica</t>
  </si>
  <si>
    <t>Ergonomia aplicada</t>
  </si>
  <si>
    <t>Fisioteràpia i Envelliment</t>
  </si>
  <si>
    <t>Tècniques específiques en fisioteràpia</t>
  </si>
  <si>
    <t>Fisioteràpia de l’Esport</t>
  </si>
  <si>
    <t>Nº estudiants tutoritzats</t>
  </si>
  <si>
    <t>Nº de tutors que té el centre i les titulacions</t>
  </si>
  <si>
    <t>Ràtio d'estudiants per tutor</t>
  </si>
  <si>
    <t>Font: Moodle</t>
  </si>
  <si>
    <t>Estudiants que han emplenat fitxa de perfil</t>
  </si>
  <si>
    <t>Estudiants que han participant a les tutories</t>
  </si>
  <si>
    <t>Nº</t>
  </si>
  <si>
    <t>%</t>
  </si>
  <si>
    <t>Nº de tutors/es totals</t>
  </si>
  <si>
    <t>Nº fitxes seguiment</t>
  </si>
  <si>
    <t>Tipus de tutories</t>
  </si>
  <si>
    <t>Indiv.</t>
  </si>
  <si>
    <t>Grup</t>
  </si>
  <si>
    <t>Presencial</t>
  </si>
  <si>
    <t>Font: Moodle i Fitxes de Seguiment</t>
  </si>
  <si>
    <t xml:space="preserve">ORIENTACIÓ PROFESSIONAL </t>
  </si>
  <si>
    <t>Taller</t>
  </si>
  <si>
    <t>Assistents</t>
  </si>
  <si>
    <t>Satisfacció</t>
  </si>
  <si>
    <t>Font: OOU URV</t>
  </si>
  <si>
    <t>MOBILITAT DELS ESTUDIANTS</t>
  </si>
  <si>
    <t>Tipus de programa</t>
  </si>
  <si>
    <t>País</t>
  </si>
  <si>
    <t>Universitat / Empresa</t>
  </si>
  <si>
    <t>Erasmus</t>
  </si>
  <si>
    <t>Itàlia</t>
  </si>
  <si>
    <t>Università degli Studi di Foggia</t>
  </si>
  <si>
    <t>Università degli Studi di Palermo</t>
  </si>
  <si>
    <t>Portugal</t>
  </si>
  <si>
    <t>Instituto Politécnico de Santarém</t>
  </si>
  <si>
    <t>MOU</t>
  </si>
  <si>
    <t>Andorra</t>
  </si>
  <si>
    <t>EMAP S.A.U.</t>
  </si>
  <si>
    <t>Font: URV en xifres. Mobilitat OUT</t>
  </si>
  <si>
    <t>Font: URV en xifres. Mobilitat IN</t>
  </si>
  <si>
    <t>Nombre espais</t>
  </si>
  <si>
    <t>Alumnes actius (%)</t>
  </si>
  <si>
    <t>Àmbit</t>
  </si>
  <si>
    <t>Instal·lacions</t>
  </si>
  <si>
    <t>Estic satisfet/a amb l'ús de l'Entorn Virtual de Formació (Moodle) per part del professorat de l’assignatura</t>
  </si>
  <si>
    <t>La disponibilitat de la bibliografia recomanada a l’assignatura és suficient</t>
  </si>
  <si>
    <t>Les condicions d’aules, laboratoris i altres mitjans han permès un desenvolupament adequat de l’assignatura</t>
  </si>
  <si>
    <t>Les instal·lacions del campus han permès un desenvolupament adequat de l'assignatura</t>
  </si>
  <si>
    <t>Has trobat fàcilment al web la informació que necessites sobre la titulació?</t>
  </si>
  <si>
    <t>Font: Elaboració pròpia.</t>
  </si>
  <si>
    <t>Participació</t>
  </si>
  <si>
    <t xml:space="preserve">Mitjana pregunta </t>
  </si>
  <si>
    <t>Potencials</t>
  </si>
  <si>
    <t>Font: Estudi de primer curs primer quadrimestre. Adreçat als estudiants de nou accés.</t>
  </si>
  <si>
    <t>Font: Estudi de Percepció de la Docència de 2n i 3r curs.</t>
  </si>
  <si>
    <t>Sí (80%)</t>
  </si>
  <si>
    <t>Sí (100%)</t>
  </si>
  <si>
    <t>Font: Estudi de Percepció de la Docència de 4t curs.</t>
  </si>
  <si>
    <t xml:space="preserve">Grau en Fisioteràpia </t>
  </si>
  <si>
    <t>Tipus crèdit</t>
  </si>
  <si>
    <t>Durada</t>
  </si>
  <si>
    <t>Estudiants assignatura</t>
  </si>
  <si>
    <t>Tipus convocatòria</t>
  </si>
  <si>
    <t>Notes Estudiants</t>
  </si>
  <si>
    <t>APROVAT</t>
  </si>
  <si>
    <t>NO PRESENTAT</t>
  </si>
  <si>
    <t>NOTABLE</t>
  </si>
  <si>
    <t>SUSPENS</t>
  </si>
  <si>
    <t>EXCEL·LENT</t>
  </si>
  <si>
    <t>MATRÍCULA D'HONOR</t>
  </si>
  <si>
    <t>Anatomia aplicada a l'activitat física i l'esport</t>
  </si>
  <si>
    <t>Semestral</t>
  </si>
  <si>
    <t>1ª i 2ª convocatòria</t>
  </si>
  <si>
    <t>Aprenentatge i desenvolupament motor</t>
  </si>
  <si>
    <t>Esports d’adversari:</t>
  </si>
  <si>
    <t>Esports individuals: Atletisme</t>
  </si>
  <si>
    <t>Fisiologia de l'exercici I</t>
  </si>
  <si>
    <t>Història i fonaments socioculturals de l’activitat física i l’esport</t>
  </si>
  <si>
    <t>Jocs i habilitats motrius</t>
  </si>
  <si>
    <t>Psicologia aplicada a l'activitat física i l'esport</t>
  </si>
  <si>
    <t xml:space="preserve">Fisiologia de l'exercici 2 </t>
  </si>
  <si>
    <t xml:space="preserve">Kinesiologia i biomecànica del moviment </t>
  </si>
  <si>
    <t xml:space="preserve">Principis didàctics de l'activitat física i l'esport </t>
  </si>
  <si>
    <t xml:space="preserve">Programació en els ensenyaments en el sistema educatiu </t>
  </si>
  <si>
    <t>Esports Col·lectius</t>
  </si>
  <si>
    <t xml:space="preserve">Esports Aquàtics </t>
  </si>
  <si>
    <t xml:space="preserve">Teoria de l'Entrenament I </t>
  </si>
  <si>
    <t xml:space="preserve">Estadística i metodologia de la investigació aplicada a l'activitat física </t>
  </si>
  <si>
    <t xml:space="preserve">Legislació esportiva i direcció de sistemes i organitzacions </t>
  </si>
  <si>
    <t>Activitat Física en la naturalesa</t>
  </si>
  <si>
    <t>Teoria de l'Entrenament II</t>
  </si>
  <si>
    <t>Prescripció de l'exercici física per a la salut</t>
  </si>
  <si>
    <t>Nutrició aplicada a l'activitat física i l'esport</t>
  </si>
  <si>
    <t>Activitat física i de l'esport per a persones amb alguna discapacitat</t>
  </si>
  <si>
    <t>Disseny, intervenció i avaluació en l'educació física i l'esport</t>
  </si>
  <si>
    <t>Noves tendències en l'entrenament esportiu</t>
  </si>
  <si>
    <t>Noves tendències en l’ensenyament de l’activitat física i l’esport</t>
  </si>
  <si>
    <t>Noves tendències en la gestió i recreació esportiva</t>
  </si>
  <si>
    <t>1ª convocatòria</t>
  </si>
  <si>
    <t>Treball de fi de grau</t>
  </si>
  <si>
    <t>TOTAL GRAU</t>
  </si>
  <si>
    <t>Total 1r Curs</t>
  </si>
  <si>
    <t>Font: URV en xifres. Informes: Elaboració Pròpia</t>
  </si>
  <si>
    <t>ACRG12. Rendiment acadèmic per assignatura (per convocatòria)</t>
  </si>
  <si>
    <t>ACRM10. Rendiment acadèmic per assignatura (per convocatòria)</t>
  </si>
  <si>
    <t>Taxa d’èxit</t>
  </si>
  <si>
    <t>Taxa de rendiment</t>
  </si>
  <si>
    <t>ACRG10 - Assignatures segons taxa d'èxit i taxa de rendiment</t>
  </si>
  <si>
    <t>ACRM08 - Assignatures segons taxa d'èxit i taxa de rendiment</t>
  </si>
  <si>
    <t>Taxa de rendiment acadèmic</t>
  </si>
  <si>
    <t>Taxa de rendiment acadèmic a 1r curs</t>
  </si>
  <si>
    <t>Taxa d’abandonament</t>
  </si>
  <si>
    <t>Taxa d'abandonament a 1r</t>
  </si>
  <si>
    <t>Taxa d'èxit</t>
  </si>
  <si>
    <t>Taxa de graduació en t</t>
  </si>
  <si>
    <t>Taxa de graduació  en t+1</t>
  </si>
  <si>
    <t>Taxa d’eficiència</t>
  </si>
  <si>
    <t>Durada mitjana dels estudis</t>
  </si>
  <si>
    <t>4 anys</t>
  </si>
  <si>
    <t>4,31 anys</t>
  </si>
  <si>
    <t>4,36 anys</t>
  </si>
  <si>
    <t>4,38 anys</t>
  </si>
  <si>
    <t>ACRG07 - Resultats acadèmics</t>
  </si>
  <si>
    <t>ACRG09 - Resultats acadèmics de 1r curs</t>
  </si>
  <si>
    <t>ACRG11 - Titulats de grau</t>
  </si>
  <si>
    <t>ACRG13 - Taxa d’abandonament de grau</t>
  </si>
  <si>
    <t>ACRG14 – Taxa de graduació de grau</t>
  </si>
  <si>
    <t>ACRM05 - Resultats acadèmics</t>
  </si>
  <si>
    <t>ACRM07 - Resultats acadèmics de 1er curs</t>
  </si>
  <si>
    <t>ACRM09 - Titulats de màster</t>
  </si>
  <si>
    <t>ACRM11 - Taxa d’abandonament de màster</t>
  </si>
  <si>
    <t>ACRM12 - Taxa de graduació de màster</t>
  </si>
  <si>
    <t>Centre</t>
  </si>
  <si>
    <t>Número d’estudiants</t>
  </si>
  <si>
    <t>1.El procés d’assignació de les PE és adequat.</t>
  </si>
  <si>
    <t>2.Al començar les pràctiques tinc la informació adient per saber que faré.</t>
  </si>
  <si>
    <t>3.Al començar les pràctiques tinc la informació adient per saber com m’avaluaran.</t>
  </si>
  <si>
    <t xml:space="preserve">4.El volum de treball d’aquesta assignatura és l’adequat.  </t>
  </si>
  <si>
    <t xml:space="preserve">5.El seguiment de les pràctiques per part del tutor professional és adequat. </t>
  </si>
  <si>
    <t>7.El seguiment de les pràctiques per part del tutor acadèmic és adequat.</t>
  </si>
  <si>
    <t>2018-2019</t>
  </si>
  <si>
    <t>Sistema d’avaluació</t>
  </si>
  <si>
    <t>Esports d’adversari</t>
  </si>
  <si>
    <t>Esports individuals: Atletisme I</t>
  </si>
  <si>
    <t>Esports Col·lectius: Futbol I</t>
  </si>
  <si>
    <t>Esports Col·lectius: Handbol</t>
  </si>
  <si>
    <t>Global titulació</t>
  </si>
  <si>
    <t>Càrrega de treball</t>
  </si>
  <si>
    <t>ANATOMIA I</t>
  </si>
  <si>
    <t>ANATOMIA II</t>
  </si>
  <si>
    <t>BASES DE COMUNICACIÓ I ÈTICA</t>
  </si>
  <si>
    <t>BASES DE DOCUMENTACIÓ I EDUCACIÓ</t>
  </si>
  <si>
    <t>FÍSICA PER FISIOTERÀPIA I BIOMECÀNICA</t>
  </si>
  <si>
    <t>FISIOLOGIA I</t>
  </si>
  <si>
    <t>FONAMENTS DE FISIOTERÀPIA</t>
  </si>
  <si>
    <t>PROCEDIMENTS GENERALS EN FISIOTERÀPIA I</t>
  </si>
  <si>
    <t>PROCEDIMENTS GENERALS EN FISIOTERÀPIA II</t>
  </si>
  <si>
    <t>VALORACIÓ EN FISIOTERÀPIA I</t>
  </si>
  <si>
    <t>BIOESTADÍSTICA</t>
  </si>
  <si>
    <t>BIOMECÀNICA CLÍNICA</t>
  </si>
  <si>
    <t>CINESITERÀPIA</t>
  </si>
  <si>
    <t>FISIOLOGIA II</t>
  </si>
  <si>
    <t>FISIOTERÀPIA EN ESPECIALITATS CLÍNIQUES I</t>
  </si>
  <si>
    <t>FISIOTERÀPIA INTEGRADA I</t>
  </si>
  <si>
    <t>MÈTODES ESPECÍFICS DE INTERVENCIÓ EN FISIOTERÀPIA I</t>
  </si>
  <si>
    <t>PATOLOGIA QUIRÚRGICA</t>
  </si>
  <si>
    <t>PRÀCTIQUES CLÍNIQUES I</t>
  </si>
  <si>
    <t>PROCEDIMENTS GENERALS EN FISIOTERÀPIA III</t>
  </si>
  <si>
    <t>PSICOLOGIA</t>
  </si>
  <si>
    <t>VALORACIÓ EN FISIOTERÀPIA II</t>
  </si>
  <si>
    <t>FISIOTERÀPIA CARDIORESPIRATÒRIA</t>
  </si>
  <si>
    <t>MÈTODES ESPECÍFICS DE INTERVENCIÓ EN FISIOTERÀPIA II</t>
  </si>
  <si>
    <t>FISIOTERÀPIA INTEGRADA II</t>
  </si>
  <si>
    <t>MÈTODES ESPECÍFICS DE INTERVENCIÓ EN FISIOTERÀPIA III</t>
  </si>
  <si>
    <t>RADIOLOGIA</t>
  </si>
  <si>
    <t>FARMACOLOGIA</t>
  </si>
  <si>
    <t>FISIOTERÀPIA EN ESPECIALITATS CLÍNIQUES II</t>
  </si>
  <si>
    <t>FISIOTERÀPIA EN ESPECIALITATS CLÍNIQUES II (Pla 2019)</t>
  </si>
  <si>
    <t>2ª i 2ª convocatòria</t>
  </si>
  <si>
    <t>PATOLOGIA MÈDICA</t>
  </si>
  <si>
    <t>PRÀCTIQUES CLÍNIQUES II</t>
  </si>
  <si>
    <t>REHABILITACIÓ I TERAPÈUTIQUES ASSOCIADES</t>
  </si>
  <si>
    <t>MANEIG DEL DOLOR</t>
  </si>
  <si>
    <t>DISENY I GESTIÓ D'UN PROJECTE DE RECERCA</t>
  </si>
  <si>
    <t>NUTRICIÓ I ACTIVITAT FÍSICA</t>
  </si>
  <si>
    <t>PRÀCTIQUES TUTELADES OPCIONAL: INVESTIGACIÓ, ESPORT, HIDROTERÀPIA, EXT</t>
  </si>
  <si>
    <t>FISIOTERÀPIA GERIÀTRICA</t>
  </si>
  <si>
    <t>FISIOTERÀPIA HOSPITALÀRIA</t>
  </si>
  <si>
    <t>FISIOTERÀPIA DOMICILIÀRIA</t>
  </si>
  <si>
    <t>FISIOTERÀPIA EN ATENCIÓ PRIMÀRIA</t>
  </si>
  <si>
    <t>TFG</t>
  </si>
  <si>
    <t>FISIOTERÀPIA DE L'ESPORT I</t>
  </si>
  <si>
    <t>LEGISLACIÓ SANITÀRIA</t>
  </si>
  <si>
    <t>SALUT PÚBLICA</t>
  </si>
  <si>
    <t>ORGANITZACIÓ I GESTIÓ SANITÀRIA</t>
  </si>
  <si>
    <t>FISIOTERÀPIA INTEGRADA III</t>
  </si>
  <si>
    <t>INTRODUCCIÓ A LA TERÀPIA MANIPULATIVA PERIFÈRICA</t>
  </si>
  <si>
    <t>ERGONOMIA APLICADA</t>
  </si>
  <si>
    <t>FISIOTERÀPIA I ENVELLIMENT</t>
  </si>
  <si>
    <t>TÈCNIQUES ESPECÍFIQUES EN FISIOTERÀPIA</t>
  </si>
  <si>
    <t>TERÀPIES AFINS AL MANEIG DEL DOLOR</t>
  </si>
  <si>
    <t>FISIOTERÀPIA DE L'ESPORT</t>
  </si>
  <si>
    <t xml:space="preserve">Taxa de graduació en t  </t>
  </si>
  <si>
    <t>Taxa de graduació en t+1</t>
  </si>
  <si>
    <t>4,55 anys</t>
  </si>
  <si>
    <t>4,42 anys</t>
  </si>
  <si>
    <t>4,54 anys</t>
  </si>
  <si>
    <t>Tipologia</t>
  </si>
  <si>
    <t>Satisfacció global</t>
  </si>
  <si>
    <t>Física per a la fisioteràpia i biomecànica</t>
  </si>
  <si>
    <t>Fonaments de Fisioteràpia</t>
  </si>
  <si>
    <t xml:space="preserve">Bases de comunicació i ètica </t>
  </si>
  <si>
    <t xml:space="preserve">Bases de documentació i educació </t>
  </si>
  <si>
    <t xml:space="preserve">Procediments generals en fisioteràpia II </t>
  </si>
  <si>
    <t xml:space="preserve">Psicologia </t>
  </si>
  <si>
    <t xml:space="preserve">Patologia quirúrgica </t>
  </si>
  <si>
    <t>Mètodes específics d'intervenció en fisioteràpia I</t>
  </si>
  <si>
    <t>Fisioteràpia integrada I</t>
  </si>
  <si>
    <t xml:space="preserve">Biomecànica clínica </t>
  </si>
  <si>
    <t>Mètodes específics d’intervenció en Fisioteràpia II</t>
  </si>
  <si>
    <t xml:space="preserve">Rehabilitació i terapèutiques associades </t>
  </si>
  <si>
    <t xml:space="preserve">Patologia mèdica </t>
  </si>
  <si>
    <t xml:space="preserve">Disseny i gestió d'un projecte de recerca </t>
  </si>
  <si>
    <t xml:space="preserve">Maneig del dolor </t>
  </si>
  <si>
    <t>Teràpies afins en el maneig del dolor</t>
  </si>
  <si>
    <t>Salut pública</t>
  </si>
  <si>
    <t>Introducció a la terapia manual manipulativa perifèrica</t>
  </si>
  <si>
    <t>Legislació sanitària</t>
  </si>
  <si>
    <t>Organització i gestió sanitària</t>
  </si>
  <si>
    <t>Fisioteràpia i envelliment</t>
  </si>
  <si>
    <t>Fisioteràpia integrada III</t>
  </si>
  <si>
    <t>Tècniques específiques en fisioteràpia</t>
  </si>
  <si>
    <t>1. El perfil d'ingrés dels estudiants</t>
  </si>
  <si>
    <t>2. L'estructura del pla d'estudis (matèries i el seu pes)</t>
  </si>
  <si>
    <t>3. El perfil de competències en la titulació</t>
  </si>
  <si>
    <t>4. L'organització del desplegament del pla d'estudis (grups, horaris, etc.)</t>
  </si>
  <si>
    <t>5. Les metodologies docents que heu utilitzat</t>
  </si>
  <si>
    <t>6. Els sistemes d'avaluació que heu utilitzat</t>
  </si>
  <si>
    <t>7. El treball i la dedicació dels estudiants</t>
  </si>
  <si>
    <t>8. Els recursos docents disponibles</t>
  </si>
  <si>
    <t>9. El suport institucional per al desenvolupament de l'activitat docent (Campus Virtual, CRAI...)</t>
  </si>
  <si>
    <t>10. La coordinació amb la resta de docents de la titulació</t>
  </si>
  <si>
    <t>12. L'organització i l'avaluació dels Treballs Fi de Grau (TFG)</t>
  </si>
  <si>
    <t>13. L'organització i l'avaluació de les pràctiques externes</t>
  </si>
  <si>
    <t>14. El rendiment acadèmic obtingut pels estudiants de les matèries que heu impartit</t>
  </si>
  <si>
    <t>15. El nivell formatiu assolit pels estudiants quan es titulen</t>
  </si>
  <si>
    <t>16. La vostra satisfacció amb la titulació</t>
  </si>
  <si>
    <t>Font: Enquesta satisfacció professorat</t>
  </si>
  <si>
    <t>França</t>
  </si>
  <si>
    <t>La Clinique du Parc</t>
  </si>
  <si>
    <t>Centre Hospitalier d'Avignon</t>
  </si>
  <si>
    <t>Centre Hospitalier Intercommunales Aix- Pertuis</t>
  </si>
  <si>
    <t>Clinique de l'Union - Ramsay Générale de Santé</t>
  </si>
  <si>
    <t>Centre Cerbère Bouffard Vercelli</t>
  </si>
  <si>
    <t>Has fet alguna tutoria amb el teu tutor/a?</t>
  </si>
  <si>
    <t>Quan has hagut de fer un tràmit administratiu, t’ha estat fàcil saber-ne el procediment?</t>
  </si>
  <si>
    <t>Sí (85,71%)</t>
  </si>
  <si>
    <t>No (66,67%)</t>
  </si>
  <si>
    <t>No (75%)</t>
  </si>
  <si>
    <t>Graduats 
2016-17</t>
  </si>
  <si>
    <t>2019-2020</t>
  </si>
  <si>
    <t>DISPONIBILITAT, ÚS I ADEQUACIÓ DELS RECURSOS MATERIALS</t>
  </si>
  <si>
    <t>Estructura i aprenentatge</t>
  </si>
  <si>
    <t>Voluntat de tornar a repetir el mateix títol</t>
  </si>
  <si>
    <t>Voluntat de tornar a estudiar a la mateixa universitat</t>
  </si>
  <si>
    <t>Grau en Fisioteràpia (71048) Pla 2012</t>
  </si>
  <si>
    <t>Taula 40.  Ús de les metodologies i sistema d’avaluació (*) per a cada assignatura, amb la mida del grup, distribució dels temps de treball de l’estudiant, amb presència del professor i treball autònom. Marcat amb blau aquelles que s’utilitzen per l’avaluació de l’assignatura</t>
  </si>
  <si>
    <t>Metodologia Docent</t>
  </si>
  <si>
    <t>Sistema d'avaluació</t>
  </si>
  <si>
    <t>Tipus Activitats d'Avaluació (hores)</t>
  </si>
  <si>
    <t>Codi Assignatura</t>
  </si>
  <si>
    <t>credits</t>
  </si>
  <si>
    <t>curs</t>
  </si>
  <si>
    <t>MD1</t>
  </si>
  <si>
    <t>MD2</t>
  </si>
  <si>
    <t>MD3</t>
  </si>
  <si>
    <t>MD4</t>
  </si>
  <si>
    <t>MD5</t>
  </si>
  <si>
    <t>MD6</t>
  </si>
  <si>
    <t>SA1</t>
  </si>
  <si>
    <t>SA2</t>
  </si>
  <si>
    <t>SA3</t>
  </si>
  <si>
    <t>SA4</t>
  </si>
  <si>
    <t>SA5</t>
  </si>
  <si>
    <t>SA6</t>
  </si>
  <si>
    <t>SA7</t>
  </si>
  <si>
    <t>SA8</t>
  </si>
  <si>
    <t>SA9</t>
  </si>
  <si>
    <t>SA10</t>
  </si>
  <si>
    <t>SA11</t>
  </si>
  <si>
    <t>SA12</t>
  </si>
  <si>
    <t>SA13</t>
  </si>
  <si>
    <t>SA14</t>
  </si>
  <si>
    <t xml:space="preserve">Mida de grups </t>
  </si>
  <si>
    <t>Nº total d'estudiants matriculats a l'assignatura</t>
  </si>
  <si>
    <t>TA1</t>
  </si>
  <si>
    <t>TA2</t>
  </si>
  <si>
    <t>TA3</t>
  </si>
  <si>
    <t>TA4</t>
  </si>
  <si>
    <t>TA5</t>
  </si>
  <si>
    <t>TA6</t>
  </si>
  <si>
    <t>TA7</t>
  </si>
  <si>
    <t>TA8</t>
  </si>
  <si>
    <t>TA9</t>
  </si>
  <si>
    <t>TA10</t>
  </si>
  <si>
    <t>TA11</t>
  </si>
  <si>
    <t>Amb professor</t>
  </si>
  <si>
    <t>Sense professor (Treball autònom)</t>
  </si>
  <si>
    <t>Hores Totals</t>
  </si>
  <si>
    <t>Primer</t>
  </si>
  <si>
    <t>37204002</t>
  </si>
  <si>
    <t>37204006</t>
  </si>
  <si>
    <t>37204003</t>
  </si>
  <si>
    <t>37204001</t>
  </si>
  <si>
    <t>37204112</t>
  </si>
  <si>
    <t>37204122</t>
  </si>
  <si>
    <t>Petit</t>
  </si>
  <si>
    <t>37204123</t>
  </si>
  <si>
    <t>37204132</t>
  </si>
  <si>
    <t>37204007</t>
  </si>
  <si>
    <t>Segon</t>
  </si>
  <si>
    <t>37204103</t>
  </si>
  <si>
    <t>37204101</t>
  </si>
  <si>
    <t>37204008</t>
  </si>
  <si>
    <t>37204108</t>
  </si>
  <si>
    <t>37204115</t>
  </si>
  <si>
    <t>37204119</t>
  </si>
  <si>
    <t>37204102</t>
  </si>
  <si>
    <t>Mitjà</t>
  </si>
  <si>
    <t>37204125</t>
  </si>
  <si>
    <t>37204124</t>
  </si>
  <si>
    <t>37204009</t>
  </si>
  <si>
    <t>37204133</t>
  </si>
  <si>
    <t>Tercer</t>
  </si>
  <si>
    <t>37204116</t>
  </si>
  <si>
    <t>Quart</t>
  </si>
  <si>
    <t>37204117</t>
  </si>
  <si>
    <t>37204118</t>
  </si>
  <si>
    <t>37204114</t>
  </si>
  <si>
    <t>37204130</t>
  </si>
  <si>
    <t>37204128</t>
  </si>
  <si>
    <t>37204127</t>
  </si>
  <si>
    <t>37204129</t>
  </si>
  <si>
    <t>37204131</t>
  </si>
  <si>
    <t>37204301</t>
  </si>
  <si>
    <t xml:space="preserve">37204210  </t>
  </si>
  <si>
    <t>37204205</t>
  </si>
  <si>
    <t>37204206</t>
  </si>
  <si>
    <t>Crèdits</t>
  </si>
  <si>
    <t>Tipus Activitats (hores)</t>
  </si>
  <si>
    <t>MD7</t>
  </si>
  <si>
    <t>MD8</t>
  </si>
  <si>
    <t>MD9</t>
  </si>
  <si>
    <t>MD10</t>
  </si>
  <si>
    <t>MD11</t>
  </si>
  <si>
    <t>MD12</t>
  </si>
  <si>
    <t>MD13</t>
  </si>
  <si>
    <t>MD14</t>
  </si>
  <si>
    <t>MD15</t>
  </si>
  <si>
    <t>MD16</t>
  </si>
  <si>
    <t>MD17</t>
  </si>
  <si>
    <t>37214001</t>
  </si>
  <si>
    <t>37214006</t>
  </si>
  <si>
    <t>37214102</t>
  </si>
  <si>
    <t>37214106</t>
  </si>
  <si>
    <t>Tennis</t>
  </si>
  <si>
    <t>37214104</t>
  </si>
  <si>
    <t>37214002</t>
  </si>
  <si>
    <t>37214010</t>
  </si>
  <si>
    <t>37214101</t>
  </si>
  <si>
    <t>37214005</t>
  </si>
  <si>
    <t>Futbol</t>
  </si>
  <si>
    <t>Handbol</t>
  </si>
  <si>
    <t>Futbol II</t>
  </si>
  <si>
    <t>Noves tendències</t>
  </si>
  <si>
    <t>Teoria de l'Entrenament III</t>
  </si>
  <si>
    <t>Noves tendències en l'ensenyament de l'activitat física i l'esport</t>
  </si>
  <si>
    <t xml:space="preserve">El volum de treball exigit ha estat coherent amb el nombre de crèdits de les assignatures </t>
  </si>
  <si>
    <t xml:space="preserve">Estic satisfet/a amb el professorat </t>
  </si>
  <si>
    <t xml:space="preserve">La metodologia docent emprada pel professorat ha afavorit el meu aprenentatge </t>
  </si>
  <si>
    <t xml:space="preserve">Els sistemes d'avaluació han permès reflectir adequadament el meu aprenentatge </t>
  </si>
  <si>
    <t xml:space="preserve">Estic satisfet amb la titulació </t>
  </si>
  <si>
    <t xml:space="preserve">La tutorització ha estat útil i ha contribuït a millorar el meu aprenentatge </t>
  </si>
  <si>
    <t xml:space="preserve">L’ús del campus virtual ha facilitat el meu aprenentatge </t>
  </si>
  <si>
    <t>Les instal·lacions (aules i espais docents) han estat adequades per afavorir el meu aprenentatge</t>
  </si>
  <si>
    <t>Els recursos facilitats pel serveis de biblioteca i de suport a la docència han respost a les meves necessitats</t>
  </si>
  <si>
    <t>Els serveis de suport a l'estudiant (informació, matriculació, tràmits acadèmics, beques, orientació, etc.) m'han ofert un bon assessorament i atenció</t>
  </si>
  <si>
    <t>He rebut resposta adequada de les meves queixes i suggeriments</t>
  </si>
  <si>
    <t>La informació referent a la titulació al web és accessible i m’ha resultat útil</t>
  </si>
  <si>
    <t xml:space="preserve">L'estructura del pla d'estudis ha permès una progressió adequada del meu aprenentatge </t>
  </si>
  <si>
    <t xml:space="preserve">Hi ha hagut bona coordinació en els continguts de les assignatures per evitar solapaments </t>
  </si>
  <si>
    <t>Font: Enquesta de satisfacció dels titulats recents de grau (AQU Catalunya)</t>
  </si>
  <si>
    <t>Taxa d'ocupació dels graduats (en %)</t>
  </si>
  <si>
    <t>Graduats amb una feina relacionada amb el que han estudiat (en %)</t>
  </si>
  <si>
    <t>Aturat/da</t>
  </si>
  <si>
    <t>Inactiu/va</t>
  </si>
  <si>
    <t>Ocupat/ada</t>
  </si>
  <si>
    <t>Funcions específiques de la titulació</t>
  </si>
  <si>
    <t>Funcions no universitàries</t>
  </si>
  <si>
    <t>Funcions universitàries</t>
  </si>
  <si>
    <t>Font: URV en xifres. ACRG16:Professorat i hores impartides segons categoria del PDI i doctorat en estudis de grau.</t>
  </si>
  <si>
    <t>Nombre PDI ETC (24 ECTS)</t>
  </si>
  <si>
    <t>Estudiants ETC</t>
  </si>
  <si>
    <t>Ràtio Estudiants ETC – PDI ETC</t>
  </si>
  <si>
    <t>Instituto Universitario Amerike</t>
  </si>
  <si>
    <t>Mèxic</t>
  </si>
  <si>
    <t>Taula 1.1.b. Evolució dels estudiants matriculats per promocions Grau en Fisioteràpia</t>
  </si>
  <si>
    <t>Taula 1.1.a. Evolució dels estudiants matriculats per promocions Grau en CAFE</t>
  </si>
  <si>
    <t>Taula 1.1.c. Evolució dels estudiants matriculats per promocions Doble Titulació</t>
  </si>
  <si>
    <t>Taula 9. Alumnes matriculats segons edat i gènere</t>
  </si>
  <si>
    <t>PERFIL ACCÉS. GRAUS</t>
  </si>
  <si>
    <t xml:space="preserve">Taula 10. Estudiants matriculats per tipus de matrícula (Temps Complert / Temps Parcial) </t>
  </si>
  <si>
    <t>Taula 11. Percentatge d’estudiants segons comarca, província i Comunitat Autònoma de procedència</t>
  </si>
  <si>
    <t>Taula 12. Ubicació de la informació pública sobre el desenvolupament i indicadors de les titulacions de Grau</t>
  </si>
  <si>
    <t>Taula 13. Instruments per a la recollida de la satisfacció dels grups d’interès</t>
  </si>
  <si>
    <t>QUALIFICACIÓ, EXPERIÈNCIA I DEDICACIÓ</t>
  </si>
  <si>
    <t>Taula 14. Perfil general del professorat de la titulació</t>
  </si>
  <si>
    <t xml:space="preserve">Taula 15. Perfil del professorat per categoria </t>
  </si>
  <si>
    <t>Taula 16. Professorat per categoria i segons doctorat</t>
  </si>
  <si>
    <t>Taula 17. Hores de docència impartida per categoria i segons doctorat</t>
  </si>
  <si>
    <t>Taula 18. Assignatures del pla d'estudis</t>
  </si>
  <si>
    <t>Taula 19. Relació estudiants per PDI</t>
  </si>
  <si>
    <t>Taula 20.2. Satisfacció dels estudiants amb el professorat. Evolució</t>
  </si>
  <si>
    <r>
      <t>Taula 22. Projectes d’innovació docent del professorat del centre</t>
    </r>
    <r>
      <rPr>
        <sz val="8"/>
        <rFont val="Calibri"/>
        <family val="2"/>
        <scheme val="minor"/>
      </rPr>
      <t> </t>
    </r>
  </si>
  <si>
    <t>Taula 23. Accions de mobilitat del PDI en el programa ERASMUS</t>
  </si>
  <si>
    <t xml:space="preserve">Taula 24.1. Nombre d’estudiants per tutor/a </t>
  </si>
  <si>
    <t xml:space="preserve">Taula 24.2. Participació dels estudiants a la tutoria de titulació </t>
  </si>
  <si>
    <t>Taula 24.3. Tutories realitzades i tipologia</t>
  </si>
  <si>
    <t>Taula 25. Nombre d’assistents als tallers d’orientació professional</t>
  </si>
  <si>
    <t>Taula 26. Número d’estudiants de mobilitat OUT</t>
  </si>
  <si>
    <t>Taula 27. Número d’estudiants de mobilitat IN</t>
  </si>
  <si>
    <t>Taula 28. Dades ús de Moodle</t>
  </si>
  <si>
    <t>Taula 30.2. Resultats enquesta satisfacció alumnes durant (2n i 3r curs).</t>
  </si>
  <si>
    <t>Taula 30.3. Resultats enquesta satisfacció alumnes que acaben (4t curs).</t>
  </si>
  <si>
    <t>Taula 31. Relació d’alumnes de Pràctiques Externes</t>
  </si>
  <si>
    <t>Taula 32. Resultats enquesta PE_assignatura grau</t>
  </si>
  <si>
    <t>Taula 33. Resultats enquesta TFG_assignatura grau</t>
  </si>
  <si>
    <t>Taula 37. Satisfacció del professorat de la titulació</t>
  </si>
  <si>
    <t>Taula 38. Rendiment acadèmic per assignatura</t>
  </si>
  <si>
    <t>Taula 39. Taxa d’èxit (crèdits superats/crèdits presentats) i Taxa de rendiment (crèdits superats/crèdits matriculats).</t>
  </si>
  <si>
    <t xml:space="preserve">Taula 40. Indicadors de resultats acadèmics </t>
  </si>
  <si>
    <t>Taula 41. Inserció laboral</t>
  </si>
  <si>
    <t>Promoció</t>
  </si>
  <si>
    <t>Estudiants matriculats Doble Titulació</t>
  </si>
  <si>
    <t>Estudiants titulats</t>
  </si>
  <si>
    <t>Dona</t>
  </si>
  <si>
    <t>Home</t>
  </si>
  <si>
    <t>Fisioteràpia</t>
  </si>
  <si>
    <t>60/23=2,61</t>
  </si>
  <si>
    <t>60/50=1,2</t>
  </si>
  <si>
    <t>60/51=1,18</t>
  </si>
  <si>
    <t>Taula 21. Formació realitzada pel professorat del centre </t>
  </si>
  <si>
    <t>Accés al grau</t>
  </si>
  <si>
    <t>Nombre de places ofertes</t>
  </si>
  <si>
    <t xml:space="preserve">Notes de tall </t>
  </si>
  <si>
    <t xml:space="preserve">Correspondències entre cicles formatius de grau superior i estudis universitaris de grau a la URV </t>
  </si>
  <si>
    <t xml:space="preserve">Sortides professionals </t>
  </si>
  <si>
    <t>Sessions d’acollida</t>
  </si>
  <si>
    <t>PLA D’ESTUDIS</t>
  </si>
  <si>
    <t xml:space="preserve">Descripció del títol </t>
  </si>
  <si>
    <t>Pla d’estudis</t>
  </si>
  <si>
    <t>Mencions</t>
  </si>
  <si>
    <t xml:space="preserve">  Competències de l’assignatura</t>
  </si>
  <si>
    <t xml:space="preserve">  Planificació</t>
  </si>
  <si>
    <t xml:space="preserve">  Avaluació</t>
  </si>
  <si>
    <t xml:space="preserve">  Resultats d'aprenentatge</t>
  </si>
  <si>
    <t xml:space="preserve">  Metodologies</t>
  </si>
  <si>
    <t xml:space="preserve">  Fonts d'Informació</t>
  </si>
  <si>
    <t xml:space="preserve">  Continguts</t>
  </si>
  <si>
    <t xml:space="preserve">  Atenció personalitzada</t>
  </si>
  <si>
    <t xml:space="preserve">  Recomanacions</t>
  </si>
  <si>
    <t>Professorat de la titulació</t>
  </si>
  <si>
    <t>Informació de contacte</t>
  </si>
  <si>
    <t>Currículum del professorat</t>
  </si>
  <si>
    <t>Normativa Pràctiques Externes</t>
  </si>
  <si>
    <t>Pràctiques Obligatòries/Optatives</t>
  </si>
  <si>
    <t>Assignatures lligades a les Pràctiques</t>
  </si>
  <si>
    <t>Institucions on es poden realitzar les Pràctiques</t>
  </si>
  <si>
    <t>Programes de mobilitat</t>
  </si>
  <si>
    <t>Altres opcions per fer estades a l'estranger</t>
  </si>
  <si>
    <t>Beques</t>
  </si>
  <si>
    <t>Normativa mobilitat</t>
  </si>
  <si>
    <t>Institucions amb convenis signats</t>
  </si>
  <si>
    <t>Marc General</t>
  </si>
  <si>
    <t>Normativa</t>
  </si>
  <si>
    <t>Política de Qualitat de la Facultat/Escola</t>
  </si>
  <si>
    <t>Manual de Qualitat de la Facultat/Escola</t>
  </si>
  <si>
    <t>Autoinforme d’acreditació</t>
  </si>
  <si>
    <t xml:space="preserve">Informació general d’accés </t>
  </si>
  <si>
    <t>Enllaç a EUC Informes </t>
  </si>
  <si>
    <t>https://tarragona.euses.cat/professors-euses-tarragona/</t>
  </si>
  <si>
    <t>ENQUESTA URV DE SATISFACCIÓ DEL PROFESSORAT</t>
  </si>
  <si>
    <t>ENQUESTA DE SATISFACCIÓ DEL PROFESSORAT PRÒPIA D'EUSES TE</t>
  </si>
  <si>
    <t>ENQUESTA DE SATISFACCIÓ DELS TUTORS DEL PAT</t>
  </si>
  <si>
    <t>ENQUESTA DE SATISFACCIÓ DELS TITULATS RECENTS DE GRAU (AQU Catalunya)</t>
  </si>
  <si>
    <t>ENQUESTA D'INSERCIÓ LABORAL ALS GRADUATS I GRADUADES (AQU Catalunya)</t>
  </si>
  <si>
    <t>ENQUESTA DE TITULATS PRÒPIA D'EUSES TE</t>
  </si>
  <si>
    <t>SERVEIS, ACTIVITATS I INSTAL·LACIONS D'EUSES TE</t>
  </si>
  <si>
    <t>ENQUESTA DE SATISFACCIÓ DELS ESTUDIANTS AMB EL PAT</t>
  </si>
  <si>
    <t>Sr. Jaume Guerra</t>
  </si>
  <si>
    <t xml:space="preserve">Font: URV en xifres. ACRG18: Assignatures dels plans d’estudis de grau. </t>
  </si>
  <si>
    <t>Nre. PDI assistent</t>
  </si>
  <si>
    <t>Espais actius (%)</t>
  </si>
  <si>
    <t>Professors actius (%)</t>
  </si>
  <si>
    <t xml:space="preserve">Grau en CAFE </t>
  </si>
  <si>
    <t>Matriculats/des</t>
  </si>
  <si>
    <t>https://tarragona.euses.cat/estudis/grau-en-fisioterapia-tarragona/
https://tarragona.euses.cat/estudis/grau-ciencies-activitat-fisica-i-esport-cafe-tarragona/
https://tarragona.euses.cat/estudis/doble-titulacio-cafe-fisioterapia/</t>
  </si>
  <si>
    <t>Taula 30.1. Resultats enquesta satisfacció alumnes de nou accés (primer curs)</t>
  </si>
  <si>
    <t>2020-21</t>
  </si>
  <si>
    <t>Taula 2.1 Evolució del nombre de professorat amb docència</t>
  </si>
  <si>
    <t>Taula 2.2 Evolució del nombre de professorat amb docència segons gènere</t>
  </si>
  <si>
    <t>2019-10</t>
  </si>
  <si>
    <t>20-21</t>
  </si>
  <si>
    <t>2020-2021</t>
  </si>
  <si>
    <t>Histologia</t>
  </si>
  <si>
    <t>Sistema musculoesquelètic</t>
  </si>
  <si>
    <t>Fisioteràpia pelviperineològica</t>
  </si>
  <si>
    <t>Catalunya</t>
  </si>
  <si>
    <t>Espanya</t>
  </si>
  <si>
    <t>HISTOLOGIA</t>
  </si>
  <si>
    <t>SISTEMA MUSCULOESQUELÈTIC</t>
  </si>
  <si>
    <t>SOL PÈLVIC I FISIOTERÀPIA</t>
  </si>
  <si>
    <t>FISIOTERÀPIA PELVIPERINEOLÒGICA</t>
  </si>
  <si>
    <t>PRIMERS AUXILIS</t>
  </si>
  <si>
    <t>FISIOTERÀPIA I SÒL PELVIA</t>
  </si>
  <si>
    <t>Any</t>
  </si>
  <si>
    <t xml:space="preserve"> </t>
  </si>
  <si>
    <t>Doble Grau en CAFE i Fisioteràpia</t>
  </si>
  <si>
    <t>Matèria</t>
  </si>
  <si>
    <t>Sense professor</t>
  </si>
  <si>
    <t>1.1</t>
  </si>
  <si>
    <t>1.6</t>
  </si>
  <si>
    <t>1.3</t>
  </si>
  <si>
    <t>1.2</t>
  </si>
  <si>
    <t>2.1</t>
  </si>
  <si>
    <t>1.7</t>
  </si>
  <si>
    <t>2.2</t>
  </si>
  <si>
    <t>2.5</t>
  </si>
  <si>
    <t>1.4</t>
  </si>
  <si>
    <t>2.3</t>
  </si>
  <si>
    <t>2.7</t>
  </si>
  <si>
    <t>2.4</t>
  </si>
  <si>
    <t>3.1</t>
  </si>
  <si>
    <t>1.5</t>
  </si>
  <si>
    <t>4.1</t>
  </si>
  <si>
    <t>FISIOTERÀPIA I SÒL PELVIÀ</t>
  </si>
  <si>
    <t>FISIOTERÀPIA DE L'ESPORT I. TEORIA DE L'ENTRENAMENT</t>
  </si>
  <si>
    <t>4.3</t>
  </si>
  <si>
    <t>2.8</t>
  </si>
  <si>
    <t>4.2</t>
  </si>
  <si>
    <t>FISIOTERÀPIA DE L'ESPORT II</t>
  </si>
  <si>
    <t>2.6</t>
  </si>
  <si>
    <t>PRÀCTIQUES TUTELADES OPCIONAL</t>
  </si>
  <si>
    <t>TÈCNIQUES ESPECÍFIQUES DE FISIOTERÀPIA</t>
  </si>
  <si>
    <t>Taula 42.1  Ús de les metodologies i sistema d’avaluació (*) per a cada assignatura, amb la mida del grup, distribució dels temps de treball de l’estudiant, amb presència del professor i treball autònom. Marcat amb blau aquelles que s’utilitzen per l’avaluació de l’assignatura</t>
  </si>
  <si>
    <t>Promoció 2020 - 2024</t>
  </si>
  <si>
    <t>50/36=1,39</t>
  </si>
  <si>
    <t>60/38=1,58</t>
  </si>
  <si>
    <t>10/6=1,66</t>
  </si>
  <si>
    <t>--</t>
  </si>
  <si>
    <t>Amposta</t>
  </si>
  <si>
    <t>Reus</t>
  </si>
  <si>
    <t>Tortosa</t>
  </si>
  <si>
    <t>Valls</t>
  </si>
  <si>
    <t>Més grans de 40 anys</t>
  </si>
  <si>
    <t>Urgell</t>
  </si>
  <si>
    <t>Plana Baixa</t>
  </si>
  <si>
    <t>Alt Maestrat</t>
  </si>
  <si>
    <t>País Basc</t>
  </si>
  <si>
    <t>Teruel</t>
  </si>
  <si>
    <t>Baix Aragó</t>
  </si>
  <si>
    <t>Noves tendències en la gestió i recreació esportiva III</t>
  </si>
  <si>
    <t>Pla vell</t>
  </si>
  <si>
    <t>Esgrima</t>
  </si>
  <si>
    <t>COMPROVACIONS</t>
  </si>
  <si>
    <t>4,78 anys</t>
  </si>
  <si>
    <t>Sr. Jordi Martín</t>
  </si>
  <si>
    <t>Dr. Abraham Batalla</t>
  </si>
  <si>
    <t>Dra. Anna Gils</t>
  </si>
  <si>
    <t xml:space="preserve">Professor col·laborador doctor </t>
  </si>
  <si>
    <t>Sr. Josep Carles</t>
  </si>
  <si>
    <t>2021-22</t>
  </si>
  <si>
    <t>Promoció 2021 - 2025</t>
  </si>
  <si>
    <t>2021-2022</t>
  </si>
  <si>
    <t>Sra. Neus Ramos</t>
  </si>
  <si>
    <t>Sr. Xavier Matheu</t>
  </si>
  <si>
    <t>Sr. Ignasi Fàbregues</t>
  </si>
  <si>
    <t>Sol pelvià i Fisioteràpia</t>
  </si>
  <si>
    <t>Dra. Mireia Serra</t>
  </si>
  <si>
    <t>Sr. Ivan Zaera</t>
  </si>
  <si>
    <t>Sr. Josep Rebull</t>
  </si>
  <si>
    <t>21-22</t>
  </si>
  <si>
    <t>Deltebre</t>
  </si>
  <si>
    <t>Sra. Carla Curto</t>
  </si>
  <si>
    <t>La Selva</t>
  </si>
  <si>
    <t>Osca</t>
  </si>
  <si>
    <t>Baix Cinca</t>
  </si>
  <si>
    <t>Les Garrigues</t>
  </si>
  <si>
    <t>Rendiment</t>
  </si>
  <si>
    <t>Unió Atlètica Montsià</t>
  </si>
  <si>
    <t>Salut</t>
  </si>
  <si>
    <t>Educació</t>
  </si>
  <si>
    <t>Gestió</t>
  </si>
  <si>
    <t xml:space="preserve">Taula 37.1 Satisfacció del professorat Grau en CAFE </t>
  </si>
  <si>
    <t>No binari</t>
  </si>
  <si>
    <t>Pregunta  (Poc satisfet 1…10 Molt satisfet)</t>
  </si>
  <si>
    <t xml:space="preserve">Taula 37.1 Satisfacció del professorat Grau en Fisioteràpia </t>
  </si>
  <si>
    <t>10/10= 1</t>
  </si>
  <si>
    <t>Taula 8. Alumnes de nou accés segons edat i sexe</t>
  </si>
  <si>
    <t>La difusió sobre la tutoria ha estat correcta</t>
  </si>
  <si>
    <t>La tutoria t'ha estat útil</t>
  </si>
  <si>
    <t>Sí (88,89%)</t>
  </si>
  <si>
    <t>Global</t>
  </si>
  <si>
    <t>Sí (81,82%)</t>
  </si>
  <si>
    <t>Sí (72,73%)</t>
  </si>
  <si>
    <t>No (100%)</t>
  </si>
  <si>
    <t>No (50%)</t>
  </si>
  <si>
    <t>Graduats 
Promoció 2017-18</t>
  </si>
  <si>
    <t>Mitjana</t>
  </si>
  <si>
    <t>Pregunta 
(Molt en desacord 1…10 Molt en acord)</t>
  </si>
  <si>
    <t>He seguit regularment les activitats de l'assignatura?</t>
  </si>
  <si>
    <t>Considero que globalment és un/a bon/a professor/a</t>
  </si>
  <si>
    <t>Doble Titulació CAFE i Fisioteràpia</t>
  </si>
  <si>
    <t>(escala 1…10)</t>
  </si>
  <si>
    <t>ESTUDIANTS</t>
  </si>
  <si>
    <t>PROFES</t>
  </si>
  <si>
    <t xml:space="preserve">Doble titulació </t>
  </si>
  <si>
    <t>Pregunta
(Molt en desacord 1…10 Molt en acord)</t>
  </si>
  <si>
    <t>Doble titulació CAFE+Fisioteràpia</t>
  </si>
  <si>
    <t xml:space="preserve">1. Què t'ha motivat a escollir aquests estudis? </t>
  </si>
  <si>
    <t xml:space="preserve">2. T'has matriculat en aquesta titulació amb l'objectiu de canviar-te després a una altra? </t>
  </si>
  <si>
    <t>3. Consideres que la teva formació prèvia és adequada per seguir els teus estudis?</t>
  </si>
  <si>
    <t>4. Consideres que el teu nivell TIC et permet desenvolupar els teus estudis?</t>
  </si>
  <si>
    <t>5. Consideres que la URV té un prestigi científic reconegut en l'àmbit dels estudis que has escollit?</t>
  </si>
  <si>
    <t>6. Sense tenir en compte els períodes de vacances, durant aquest curs compagines feina i estudis?</t>
  </si>
  <si>
    <t>6.1. Hores de jornada laboral a la setmana?</t>
  </si>
  <si>
    <t>6.2. La feina que fas està relacionada amb els teus estudis?</t>
  </si>
  <si>
    <t>7. Indica el teu nivell de coneixement dels idiomes que s'indiquen a continuació és (d'acord amb l'escala següent): [Anglès]</t>
  </si>
  <si>
    <t>M'agrada la professió que se'n deriva (100%)</t>
  </si>
  <si>
    <t>M'agrada la professió que se'n deriva (81,82%)</t>
  </si>
  <si>
    <t>Sí (66,67%)</t>
  </si>
  <si>
    <t>Sí (50%)</t>
  </si>
  <si>
    <t>No (63,64%)</t>
  </si>
  <si>
    <t>Entre 1-20 (100%)</t>
  </si>
  <si>
    <t>Sí (54,55%)</t>
  </si>
  <si>
    <t>M'agrada la professió que se'n deriva (75%)</t>
  </si>
  <si>
    <t>Sí (57,14%)</t>
  </si>
  <si>
    <t>Sí (75%)</t>
  </si>
  <si>
    <t>1. Quines activitats fas a la Universitat?</t>
  </si>
  <si>
    <t>4. Sense tenir en compte els períodes de vacances, durant aquest curs compagines feina i estudis?</t>
  </si>
  <si>
    <t>4.1. Hores de jornada laboral a la setmana?</t>
  </si>
  <si>
    <t>4.2. La feina que fas està relacionada amb els teus estudis?</t>
  </si>
  <si>
    <t>5. Indica el teu nivell de coneixement dels idiomes que s'indiquen a continuació és (d'acord amb l'escala següent): [Anglès]</t>
  </si>
  <si>
    <t>Assisteixo a classe, estudio i faig activitats amb freqüència (100%)</t>
  </si>
  <si>
    <t>Sí (60%)</t>
  </si>
  <si>
    <t>No (60%)</t>
  </si>
  <si>
    <t>Sí (90%)</t>
  </si>
  <si>
    <t>Només assisteixo a classe i estudio (100%)</t>
  </si>
  <si>
    <t>5. El meu nivell de coneixement dels idiomes que s'indiquen a continuació és (d'acord amb l'escala següent): [Anglès]</t>
  </si>
  <si>
    <t>Taula 29. Satisfacció amb els sistemes de suport a l’aprenentatge</t>
  </si>
  <si>
    <t>Només assisteixo a classe i estudio (66,67%)</t>
  </si>
  <si>
    <t>Estudiar un màster (100%)</t>
  </si>
  <si>
    <t>6.Valora del 0 al 10 la teva estada al lloc on has fet les pràctiques.</t>
  </si>
  <si>
    <t>8. El que es fa a l'assignatura m'ajuda a aprendre</t>
  </si>
  <si>
    <t>9. La manera com m'avaluen les Pràctiques Externes és adequada.</t>
  </si>
  <si>
    <t>10. Les Pràctiques Externes  m'han ofert l'oportunitat de tenir un contacte amb el món laboral.</t>
  </si>
  <si>
    <t>11. Les Pràctiques Externes m'han permès aplicar els coneixements i habilitats adquirits durant la titulació.</t>
  </si>
  <si>
    <t>12. Les Pràctiques Externes faciliten la inserció laboral.</t>
  </si>
  <si>
    <t>13. Valora del 0 al 10 la satisfacció amb el desenvolupament de l'assignatura.</t>
  </si>
  <si>
    <t>Taula 30.4. Resultats enquesta satisfacció als estudiants sobre serveis, activitats i instal·lacions EUSES TE.</t>
  </si>
  <si>
    <t>Ubicació</t>
  </si>
  <si>
    <t>Haguéssiu preferit cursar els estudis en una altra universitat catalana?</t>
  </si>
  <si>
    <t>Heu participat en les activitats organitzades per la EUSES TE-URV adreçades a futurs estudiants?</t>
  </si>
  <si>
    <t>Coneixeu el servei de suport en temes de pràctiques i borsa de treball (Alumni)?</t>
  </si>
  <si>
    <t>Coneixeu els programes de suport als alumnes amb discapacitat (URV)?</t>
  </si>
  <si>
    <t>Coneixeu el Servei de Beques i Ajuts a l'Estudiant (URV)?</t>
  </si>
  <si>
    <t>Coneixeu l'Oficina de Mobilitat i Programes Internacionals del vostre centre (URV)?</t>
  </si>
  <si>
    <t>Sou usuari/usuària del Servei de llengües (URV)?</t>
  </si>
  <si>
    <t xml:space="preserve"> Sou usuari/usuària d'Esports (URV)?</t>
  </si>
  <si>
    <t>Coneixeu l'existència d'alguna associació d'estudiants (URV)?</t>
  </si>
  <si>
    <t>Per què estudieu a EUSES TE  - URV?</t>
  </si>
  <si>
    <t>PAT</t>
  </si>
  <si>
    <t>Secretaria</t>
  </si>
  <si>
    <t>Aules</t>
  </si>
  <si>
    <t>Sales d'estudis</t>
  </si>
  <si>
    <t>Espai de consum d'aliments</t>
  </si>
  <si>
    <t>Accés al centre</t>
  </si>
  <si>
    <t>Dependències</t>
  </si>
  <si>
    <t>Vigilància</t>
  </si>
  <si>
    <t>Campus virtual</t>
  </si>
  <si>
    <t>Web</t>
  </si>
  <si>
    <t>Agilitat en els tràmits</t>
  </si>
  <si>
    <t>Tracte personal</t>
  </si>
  <si>
    <t>Horari d'atenció</t>
  </si>
  <si>
    <t>Procés d'automatrícula</t>
  </si>
  <si>
    <t>Atenció telefònica</t>
  </si>
  <si>
    <t>Valoració global</t>
  </si>
  <si>
    <t>Espai disponible</t>
  </si>
  <si>
    <t>Recursos docents</t>
  </si>
  <si>
    <t>Horari</t>
  </si>
  <si>
    <t>Disponibilitat de llocs per a l'estudi</t>
  </si>
  <si>
    <t>Disponibilitat de microones i espais per consumir menjar propi</t>
  </si>
  <si>
    <t>Oferta de productes a les màquines expenedores</t>
  </si>
  <si>
    <t>Transport públic</t>
  </si>
  <si>
    <t>Transport privat</t>
  </si>
  <si>
    <t>Claredat en la senyalització</t>
  </si>
  <si>
    <t>Grau de vigilància i seguretat</t>
  </si>
  <si>
    <t>Utilitat per als estudis</t>
  </si>
  <si>
    <t>Disponibilitat de material</t>
  </si>
  <si>
    <t>Adequació del material dipositat</t>
  </si>
  <si>
    <t>Valoració global del web URV</t>
  </si>
  <si>
    <t>Valoració de la web del vostre centre</t>
  </si>
  <si>
    <t>És una tria determinada per la nota d'accés (100%)</t>
  </si>
  <si>
    <t>Excel·lent (66,67%)</t>
  </si>
  <si>
    <t>Regular (100%)</t>
  </si>
  <si>
    <t>Deficient (100%)</t>
  </si>
  <si>
    <t>Excel·lent (57,89%)</t>
  </si>
  <si>
    <t>5. El que es fa a l’assignatura m’ajuda a aprendre.</t>
  </si>
  <si>
    <t>1. El procés d’assignació del TFG és adequat</t>
  </si>
  <si>
    <t>2. La informació sobre l’assignatura és clara i entenedora (objectius, planificació i criteris d’avaluació).</t>
  </si>
  <si>
    <t>3. El volum de treball d’aquesta assignatura és l’adequat.</t>
  </si>
  <si>
    <t xml:space="preserve">4. El seguiment per part del tutor ha estat útil per fer el TFG. </t>
  </si>
  <si>
    <t>6. La manera com m'avaluen el TFG es adequada.</t>
  </si>
  <si>
    <t>7. El TFG m'ofereix oportunitats de participar en activitats de recerca i/o professionals.</t>
  </si>
  <si>
    <t>8. El TFG m’ha permès valorar el meu grau d'assoliment de les competències de la titulació.</t>
  </si>
  <si>
    <t>9. El TFG m'ha estat útil per consolidar competències de la titulació.</t>
  </si>
  <si>
    <t>10. Valora del 0 al 10 la satisfacció amb el desenvolupament de l'assignatura.</t>
  </si>
  <si>
    <t>Valora del 0 al 10 la satisfacció amb el desenvolupament de l’assignatura</t>
  </si>
  <si>
    <t>La metodologia docent utilitzada pel professorat m’ha afavorit l’aprenentatge</t>
  </si>
  <si>
    <t>L’avaluació ha estat coherent amb la metodologia docent utilitzada</t>
  </si>
  <si>
    <t>Fisiologia de l'exercici II</t>
  </si>
  <si>
    <t>Esports d’adversari: Tennis</t>
  </si>
  <si>
    <t>Esports d’adversari: Esgrima</t>
  </si>
  <si>
    <t>Ampliació dels esports: Futbol II</t>
  </si>
  <si>
    <t>Ampliació dels esports: Noves tendències en l'entrenament esportiu</t>
  </si>
  <si>
    <t>Metodologia docent</t>
  </si>
  <si>
    <t>Sistema neuromusculoesquelètic</t>
  </si>
  <si>
    <t>Sól pelvià i fisioteràpia</t>
  </si>
  <si>
    <t>Fisioteràpia de l'esport I</t>
  </si>
  <si>
    <t>Fisioteràpia de l’esport II</t>
  </si>
  <si>
    <t>Aprenentatge motor</t>
  </si>
  <si>
    <t>Esports d'adversari: Esgrima</t>
  </si>
  <si>
    <t>Esports d'adversari: Tennis</t>
  </si>
  <si>
    <t>Història i fonaments socioculturals de l'activitat física i l'esport</t>
  </si>
  <si>
    <t>Procediments generals en Fisioteràpia I</t>
  </si>
  <si>
    <t>Psicologia aplicada a l'activitat física i a l'esport</t>
  </si>
  <si>
    <t>Programació dels ensenyaments en el sistema educatiu</t>
  </si>
  <si>
    <t>Bases econòmico-financeres i de contractació</t>
  </si>
  <si>
    <t>Prescripció d'exercici físic per a la salut</t>
  </si>
  <si>
    <t xml:space="preserve">Tècniques específiques d'intervenció en fisioteràpia </t>
  </si>
  <si>
    <t>Curriculars</t>
  </si>
  <si>
    <t>Extracurriculars</t>
  </si>
  <si>
    <t>Explica els continguts amb claredat</t>
  </si>
  <si>
    <t>Atenció personalitzada</t>
  </si>
  <si>
    <t>Resol satisfactòriament els dubtes o preguntes que se li plantegen</t>
  </si>
  <si>
    <t>Noves tendències en la gestió i recreació esportiva I: Professió i reptes de futur</t>
  </si>
  <si>
    <t>ANATOMIA I (Pla vell)</t>
  </si>
  <si>
    <t>ANATOMIA II (Pla vell)</t>
  </si>
  <si>
    <t>4,94 anys</t>
  </si>
  <si>
    <t>Taxa d'eficiència</t>
  </si>
  <si>
    <t>4,41 anys</t>
  </si>
  <si>
    <t>4,63 anys</t>
  </si>
  <si>
    <t>Taula 36. Satisfacció dels graduats amb l'experiència educativa global. Curs 2020-2021</t>
  </si>
  <si>
    <t>Data informe: 15/01/2023</t>
  </si>
  <si>
    <t>Font: Enquesta d'inserció laboral (AQU Catalunya)</t>
  </si>
  <si>
    <t>2022-23</t>
  </si>
  <si>
    <t>Promoció 2022 - 2026</t>
  </si>
  <si>
    <t>2022-2023</t>
  </si>
  <si>
    <t>22-23</t>
  </si>
  <si>
    <t>Taula 20.1. Satisfacció dels estudiants amb el professorat. Curs 2022-23</t>
  </si>
  <si>
    <t>(escala 1_7)</t>
  </si>
  <si>
    <t>Taula 34. Satisfacció dels estudiants amb les assignatures. Curs 2022-2023</t>
  </si>
  <si>
    <t>Gandesa</t>
  </si>
  <si>
    <t>50/50= 1</t>
  </si>
  <si>
    <t>60/35=1,71</t>
  </si>
  <si>
    <t>10/11= 0,91</t>
  </si>
  <si>
    <t>Reus Esport i lleure - Reus</t>
  </si>
  <si>
    <t>Més que Km - Alcanar</t>
  </si>
  <si>
    <t>Institut de Tecnificació - Amposta</t>
  </si>
  <si>
    <t>Rai Readaptació - Roquetes</t>
  </si>
  <si>
    <t>CUB Pàdel - Tarragona</t>
  </si>
  <si>
    <t>CF Villarreal SAD - Villarreal</t>
  </si>
  <si>
    <t>EducaPorts - Tortosa</t>
  </si>
  <si>
    <t>Recovery - Cambrils</t>
  </si>
  <si>
    <t>ReQ Salou - Salou</t>
  </si>
  <si>
    <t>Tennis Monterols - Reus</t>
  </si>
  <si>
    <t>Cevest Teixidó - Reus</t>
  </si>
  <si>
    <t>H20 - Salou</t>
  </si>
  <si>
    <t>CTE Terres de l'Ebre - Amposta</t>
  </si>
  <si>
    <t>Espai Salut - Vilafranca</t>
  </si>
  <si>
    <t xml:space="preserve">ACTIVITAT FÍSICA I EXERCICI TERAPÈUTIC </t>
  </si>
  <si>
    <t>Camp d'Alicant</t>
  </si>
  <si>
    <t>Hospital de Tortosa Verge de la cinta</t>
  </si>
  <si>
    <t>Clínica Terres de l'Ebre</t>
  </si>
  <si>
    <t>Residència Sant Miquel Arcàngel</t>
  </si>
  <si>
    <t>Ebreclínic</t>
  </si>
  <si>
    <t>Residència d'Avis d'Amposta</t>
  </si>
  <si>
    <t>Onada la Ràpita</t>
  </si>
  <si>
    <t>Onada Ametlla de Mar</t>
  </si>
  <si>
    <t>Onada Deltebre</t>
  </si>
  <si>
    <t>CAP Baix Ebre</t>
  </si>
  <si>
    <t>Hospital de la Santa Creu - Jesús</t>
  </si>
  <si>
    <t>Hospital Comarcal d'Amposta</t>
  </si>
  <si>
    <t>CAP Gandesa</t>
  </si>
  <si>
    <t>Escola Educació Especial Verge de la Cinta</t>
  </si>
  <si>
    <t>APASA</t>
  </si>
  <si>
    <t>Domiciliàries Tortosa</t>
  </si>
  <si>
    <t>Domicilies Amposta</t>
  </si>
  <si>
    <t>Fisiomèdic</t>
  </si>
  <si>
    <t>Remeiss</t>
  </si>
  <si>
    <t>Fisioteràpia Tot Cos</t>
  </si>
  <si>
    <t>Fisioteràpia Tarragona</t>
  </si>
  <si>
    <t>Fontanet Fisioteràpia</t>
  </si>
  <si>
    <t>Gemma Arias</t>
  </si>
  <si>
    <t>Cristina Sarria</t>
  </si>
  <si>
    <t>Celia Brau</t>
  </si>
  <si>
    <t>Savia Vinaròs</t>
  </si>
  <si>
    <t>Onada vinaròs</t>
  </si>
  <si>
    <t>Osi Araba</t>
  </si>
  <si>
    <t>Konporta</t>
  </si>
  <si>
    <t>Real sociedad de fútbol</t>
  </si>
  <si>
    <t xml:space="preserve">Amaro y Castillo </t>
  </si>
  <si>
    <t>Casajuana</t>
  </si>
  <si>
    <t>Hospital Pius</t>
  </si>
  <si>
    <t>Rubén Roda</t>
  </si>
  <si>
    <t>SAAS</t>
  </si>
  <si>
    <t>Edith</t>
  </si>
  <si>
    <t>Fisioserveis</t>
  </si>
  <si>
    <t>CARE</t>
  </si>
  <si>
    <t>La Ràpita</t>
  </si>
  <si>
    <t>Ametlla de Mar</t>
  </si>
  <si>
    <t>Tortosa ( Jesús)</t>
  </si>
  <si>
    <t>Hospitalet de l'infant</t>
  </si>
  <si>
    <t>Benicarló</t>
  </si>
  <si>
    <t>Vinaròs</t>
  </si>
  <si>
    <t>Donosti</t>
  </si>
  <si>
    <t>Madrid</t>
  </si>
  <si>
    <t>Xert</t>
  </si>
  <si>
    <t>Sr. Santiago Vicente</t>
  </si>
  <si>
    <t>Dra. Mireia Salvador</t>
  </si>
  <si>
    <t>Activitat Física i exercici terapèutic</t>
  </si>
  <si>
    <t>Dr. Oriol Sansano</t>
  </si>
  <si>
    <t xml:space="preserve">Dra. Sílvia Garcías </t>
  </si>
  <si>
    <t>Dra. Elsa Gil</t>
  </si>
  <si>
    <t>Sr. Enric Simón</t>
  </si>
  <si>
    <t>Dr.Gerson Garrosa</t>
  </si>
  <si>
    <t>Sr. Dídac Carles</t>
  </si>
  <si>
    <t>Professor col.laborador graduat</t>
  </si>
  <si>
    <t>Sí (97,75%)</t>
  </si>
  <si>
    <t>Sí (95,75%)</t>
  </si>
  <si>
    <t>Sí (96,41%)</t>
  </si>
  <si>
    <t>Sí (92,49%)</t>
  </si>
  <si>
    <t>Sí (93,66%)</t>
  </si>
  <si>
    <t>Sí (92,94%)</t>
  </si>
  <si>
    <t>Sí (98,30%)</t>
  </si>
  <si>
    <t>Sí (98,70%)</t>
  </si>
  <si>
    <t>Informació pública</t>
  </si>
  <si>
    <t>Sí (82,61)</t>
  </si>
  <si>
    <t>Sí (84,85%)</t>
  </si>
  <si>
    <t>Sí (87,50%)</t>
  </si>
  <si>
    <t>Sí (88%)</t>
  </si>
  <si>
    <t>Sí (65,22%)</t>
  </si>
  <si>
    <t>Sí (69,70%)</t>
  </si>
  <si>
    <t>Sí (78,57%)</t>
  </si>
  <si>
    <t xml:space="preserve">He rebut resposta de les queixes i suggeriments (en cas d'haver-ne fet). </t>
  </si>
  <si>
    <t>Sí (61,11%)</t>
  </si>
  <si>
    <t>Sí (68%)</t>
  </si>
  <si>
    <t>No (52,17%)</t>
  </si>
  <si>
    <t>No (80%)</t>
  </si>
  <si>
    <t>No (60,61%)</t>
  </si>
  <si>
    <t>No (81,82%)</t>
  </si>
  <si>
    <t>Sí (62,50%)</t>
  </si>
  <si>
    <t>Entre 21-40 (25%)</t>
  </si>
  <si>
    <t>Entre 1-20 (33,33%)</t>
  </si>
  <si>
    <t>Entre 1-20 (18,18%)</t>
  </si>
  <si>
    <t>Sí (25%)</t>
  </si>
  <si>
    <t>No (33,33%)</t>
  </si>
  <si>
    <t>Sí (18,18%)</t>
  </si>
  <si>
    <t xml:space="preserve">15. Has assistit a les jornades d'acollida de principi de curs? </t>
  </si>
  <si>
    <t>No (62,50%)</t>
  </si>
  <si>
    <t>15.1. Fins a quin punt t'han resultat útils per incorporar-te satisfactòriament a la Universitat?</t>
  </si>
  <si>
    <t>17. Els horaris de classe són adequats per a la teva formació?</t>
  </si>
  <si>
    <t>18. M’he integrat a l’entorn universitari.</t>
  </si>
  <si>
    <t>19. Estic satisfet amb la relació amb els companys a la titulació.</t>
  </si>
  <si>
    <t>Assisteixo a classe, estudio i faig activitats amb freqüència (75%)</t>
  </si>
  <si>
    <t>Assisteixo a classe, estudio i faig activitats amb freqüència (47,06%)</t>
  </si>
  <si>
    <t>Assisteixo a classe, estudio i faig activitats amb freqüència (54,55%)</t>
  </si>
  <si>
    <t>Només assisteixo a classe i estudio (71,43%)</t>
  </si>
  <si>
    <t>Només assisteixo a classe i estudio (81,82%)</t>
  </si>
  <si>
    <t>Assisteixo a classe, estudio i faig activitats amb freqüència (50%)</t>
  </si>
  <si>
    <t>2. Fas activitats del sector social o ambiental?</t>
  </si>
  <si>
    <t>No (82,35%)</t>
  </si>
  <si>
    <t>No (72,73%)</t>
  </si>
  <si>
    <t>No (85,71%)</t>
  </si>
  <si>
    <t>No (90,91%)</t>
  </si>
  <si>
    <t>3. Fas activitats de l'àmbit cultural i/o esportiu?</t>
  </si>
  <si>
    <t>Sí (58,82%)</t>
  </si>
  <si>
    <t>Sí (68,18%)</t>
  </si>
  <si>
    <t>Sí (70,59%)</t>
  </si>
  <si>
    <t>No (71,43%)</t>
  </si>
  <si>
    <t>Entre 1-20 (50%)</t>
  </si>
  <si>
    <t>Entre 1-20 (47,06%)</t>
  </si>
  <si>
    <t>Entre 1-20 (45,45%)</t>
  </si>
  <si>
    <t>Entre 1-20 (28,57%)</t>
  </si>
  <si>
    <t>No (28,57%)</t>
  </si>
  <si>
    <t>No (18,18%)</t>
  </si>
  <si>
    <t>14. Els horaris de classe són adequats per a la teva formació?</t>
  </si>
  <si>
    <t>Sí (88,24%)</t>
  </si>
  <si>
    <t>Sí (90,91%)</t>
  </si>
  <si>
    <t>15. M'he integrat a l'entorn universitari.</t>
  </si>
  <si>
    <t>16. Estic satisfet amb la relació amb els companys a la titulació.</t>
  </si>
  <si>
    <t>17. L'ambient d'aprenentatge és de col·laboració</t>
  </si>
  <si>
    <t>18. L'ambient d'aprenentatge és de competitivitat</t>
  </si>
  <si>
    <t>19. Coneixes l'ICenter i els serveis que ofereix?</t>
  </si>
  <si>
    <t>No (86,36%)</t>
  </si>
  <si>
    <t>20. Coneixes els diferents programes de mobilitat als què pots optar?</t>
  </si>
  <si>
    <t>No (70,59%)</t>
  </si>
  <si>
    <t>No (59,09%)</t>
  </si>
  <si>
    <t>No (54,55%)</t>
  </si>
  <si>
    <t>21. Saps que pots fer una mobilitat sota el Programa "Erasmus+"?</t>
  </si>
  <si>
    <t>Sí (82,35%)</t>
  </si>
  <si>
    <t>Sí (63,64%)</t>
  </si>
  <si>
    <t>22. Saps que pots anar a fer estada de mobilitat de pràctiques?</t>
  </si>
  <si>
    <t>Sí (76,47%)</t>
  </si>
  <si>
    <t>Sí (77,27%)</t>
  </si>
  <si>
    <t>23. Creus que pots finalitzar aquesta titulació en el temps previst? (habitualment, quatre anys per un grau i cinc anys per una doble titulació)</t>
  </si>
  <si>
    <t>24. Estàs satisfet amb la carrera que estudies?</t>
  </si>
  <si>
    <t>Sí (94,12%)</t>
  </si>
  <si>
    <t>Sí (95,45%)</t>
  </si>
  <si>
    <t>25. La teva percepció sobre la carrera ha millorat respecte a la que tenies quan vas iniciar els estudis?</t>
  </si>
  <si>
    <t>Sí (71,43%)</t>
  </si>
  <si>
    <t>Només assisteixo a classe (100%)</t>
  </si>
  <si>
    <t>Assisteixo a classe, estudio i faig activitats amb molta freqüència (100%)</t>
  </si>
  <si>
    <t>Assisteixo a classe, estudio i faig activitats amb molta freqüència (50%)</t>
  </si>
  <si>
    <t>Assisteixo a classe, estudio i faig activitats amb molt poca freqüència (62,50%)</t>
  </si>
  <si>
    <t>Assisteixo a classe, estudio i faig activitats amb molt poca freqüència (45,45%)</t>
  </si>
  <si>
    <t>Entre 21-40 (12,50%)</t>
  </si>
  <si>
    <t>Entre 21-40 (33,33%)</t>
  </si>
  <si>
    <t>Entre 21-40 (18,18%)</t>
  </si>
  <si>
    <t>Sí (12,50%)</t>
  </si>
  <si>
    <t>19. El Pla d'Estudis de la titulació ha permès una progressió adequada del meu aprenentatge</t>
  </si>
  <si>
    <t>20. Hi ha hagut una bona coordinació en el contingut de les assignatures de la Titulació per evitar solapaments</t>
  </si>
  <si>
    <t>21. La formació m'ha ajudat a millorar les meves capacitat de comunicació en públic.</t>
  </si>
  <si>
    <t>22. La formació m'ha ajudat a millorar la capacitat de comunicació escrita.</t>
  </si>
  <si>
    <t>23. La formació m'ha ajudat a millorar la meva capacitat de treballar de forma autònoma.</t>
  </si>
  <si>
    <t>24. La formació m'ha ajudat a desenvolupar la meva capacitat de prendre decisions.</t>
  </si>
  <si>
    <t>25. La formació m'ha ajudat a desenvolupar la meva capacitat de resoldre  problemes.</t>
  </si>
  <si>
    <t>26. La formació m'ha ajudat a desenvolupar la meva capacitat de treball en equip.</t>
  </si>
  <si>
    <t>27. La formació m'ha ajudat a millorar les meves competències per a la gestió de la informació.</t>
  </si>
  <si>
    <t>28. La formació m'ha ajudat a millorar la meva capacitat de treballar en llengües estrangeres.</t>
  </si>
  <si>
    <t>29. La formació m'ha ajudat a millorar les meves competències per l'ús de les Tecnologies de la Informació i Comunicació.</t>
  </si>
  <si>
    <t>30. La formació m'ha ajudat a reflexionar vers aspectes rellevants de responsabilitat social i ètic.</t>
  </si>
  <si>
    <t>31. La formació m'ha ajudat a millorar l'habilitat per definir el perfil acadèmic i professional futur.</t>
  </si>
  <si>
    <t>32. La formació m'ha ajudat a millorar les capacitats per a l'activitat professional.</t>
  </si>
  <si>
    <t xml:space="preserve">33. Puc anomenar com a mínim una dona que ha contribuït a desenvolupar el meu camp d’estudi. </t>
  </si>
  <si>
    <t>34. Puc anomenar com a mínim un home que ha contribuït a desenvolupar el meu camp d’estudi.</t>
  </si>
  <si>
    <t>35. Estic satisfet/a amb el grau d'introducció de la perspectiva de gènere en la titulació.</t>
  </si>
  <si>
    <t>36. Les accions de mobilitat han estat rellevants per al meu aprenentatge.</t>
  </si>
  <si>
    <t>37. Estàs satisfet amb la titulació que has estudiat?</t>
  </si>
  <si>
    <t>38. Si tornessis a començar triaries la mateixa titulació?</t>
  </si>
  <si>
    <t>39. Si tornessis a començar els estudis universitaris, triaries la URV?</t>
  </si>
  <si>
    <t>40. Recomanaries la URV a qui volgués iniciar estudis?</t>
  </si>
  <si>
    <t>41. Quines perspectives de futur tens?</t>
  </si>
  <si>
    <t>Treballar (100%)</t>
  </si>
  <si>
    <t>Estudiar un màster (50%)</t>
  </si>
  <si>
    <t>Treballar (33,33%)</t>
  </si>
  <si>
    <t>Treballar (81,82%)</t>
  </si>
  <si>
    <t>Per proximitat geogràfica (66,67%)</t>
  </si>
  <si>
    <t>És una tria determinada per la nota d'accés (85,71%)</t>
  </si>
  <si>
    <t>És una tria determinada per la nota d'accés (70%)</t>
  </si>
  <si>
    <t>És una tria determinada per la nota d'accés (50%)</t>
  </si>
  <si>
    <t>És una tria determinada per la nota d'accés (60%)</t>
  </si>
  <si>
    <t>És una tria determinada per la nota d'accés (52,63%)</t>
  </si>
  <si>
    <t>Sí (70%)</t>
  </si>
  <si>
    <t>Sí (52,63%)</t>
  </si>
  <si>
    <t>No (71,48%)</t>
  </si>
  <si>
    <t>No (78,57%)</t>
  </si>
  <si>
    <t>No (78,95%)</t>
  </si>
  <si>
    <t>Sí (68,42%)</t>
  </si>
  <si>
    <t>No (90%)</t>
  </si>
  <si>
    <t>No (64,29%)</t>
  </si>
  <si>
    <t>No (73,68%)</t>
  </si>
  <si>
    <t>No (57,14%)</t>
  </si>
  <si>
    <t>Sí (63,16%)</t>
  </si>
  <si>
    <t>No (57,89%)</t>
  </si>
  <si>
    <t>Excel·lent (57,14%)</t>
  </si>
  <si>
    <t>Excel·lent (60%)</t>
  </si>
  <si>
    <t>Excel·lent (64,29%)</t>
  </si>
  <si>
    <t>Bé (60%)</t>
  </si>
  <si>
    <t>Bé (100%)</t>
  </si>
  <si>
    <t>Excel·lent (71,43%)</t>
  </si>
  <si>
    <t>Excel·lent (70%)</t>
  </si>
  <si>
    <t>Excel·lent (52,63%)</t>
  </si>
  <si>
    <t>Bé (50%)</t>
  </si>
  <si>
    <t>Bé (80%)</t>
  </si>
  <si>
    <t>Bé (57,89%)</t>
  </si>
  <si>
    <t>Excel·lent (42,86%)</t>
  </si>
  <si>
    <t>Excel·lent (50%)</t>
  </si>
  <si>
    <t>Excel·lent (47,37%)</t>
  </si>
  <si>
    <t>Bé (66,67%)</t>
  </si>
  <si>
    <t>Bé (40%)</t>
  </si>
  <si>
    <t>Bé (57,14%)</t>
  </si>
  <si>
    <t>Regular (57,14%)</t>
  </si>
  <si>
    <t>Regular (52,63%)</t>
  </si>
  <si>
    <t>Bé (35,71%)</t>
  </si>
  <si>
    <t>Bé (36,84%)</t>
  </si>
  <si>
    <t>Bé (47,37%)</t>
  </si>
  <si>
    <t>Regular (66,67%)</t>
  </si>
  <si>
    <t>Bé (64,29%)</t>
  </si>
  <si>
    <t>Bé (63,16%)</t>
  </si>
  <si>
    <t>Bé (71,43%)</t>
  </si>
  <si>
    <t>Bé (42,86%)</t>
  </si>
  <si>
    <t>Excel·lent (40%)</t>
  </si>
  <si>
    <t>Bé (42,11%)</t>
  </si>
  <si>
    <t>Deficient (57,14%)</t>
  </si>
  <si>
    <t>Deficient (70%)</t>
  </si>
  <si>
    <t>Bé (28,57%)</t>
  </si>
  <si>
    <t>Regular (40%)</t>
  </si>
  <si>
    <t>Deficient (60%)</t>
  </si>
  <si>
    <t>Bé (52,63%)</t>
  </si>
  <si>
    <t>Bé (33,33%)</t>
  </si>
  <si>
    <t>Excel·lent (35,71%)</t>
  </si>
  <si>
    <t>Excel·lent (31,58%)</t>
  </si>
  <si>
    <t>Bé (70%)</t>
  </si>
  <si>
    <t>Bé (68,42%)</t>
  </si>
  <si>
    <t>No (92,86%)</t>
  </si>
  <si>
    <t>No (94,74%)</t>
  </si>
  <si>
    <t>No (89,47%)</t>
  </si>
  <si>
    <t>Sí (57,89%)</t>
  </si>
  <si>
    <t>Noves tendències en l'entrenament esportiu (readaptació)</t>
  </si>
  <si>
    <t>Noves tendències en la gestió i recreació esportiva III: BTT</t>
  </si>
  <si>
    <t>Clinique Via domitia</t>
  </si>
  <si>
    <t xml:space="preserve">kinerestinclia </t>
  </si>
  <si>
    <t>Centre Hospitalier Etienne Clémentel</t>
  </si>
  <si>
    <t>Centre Hospitalier Guy Thomas</t>
  </si>
  <si>
    <t>Centre Bouffard-Vercelli – Ussap - Pôle Santé Roussillon</t>
  </si>
  <si>
    <t>Polyclinique Medipole Saint Roch</t>
  </si>
  <si>
    <t>Kine Pole Medical</t>
  </si>
  <si>
    <t>Altres Països</t>
  </si>
  <si>
    <t>El volum de treball és coherent i proporcionat als crèdits de l’assignatura.</t>
  </si>
  <si>
    <t>Resultats</t>
  </si>
  <si>
    <t>Suport a l'estudiant</t>
  </si>
  <si>
    <t>Activitat física i exercici terapèutic</t>
  </si>
  <si>
    <t>Mètodes específics d’intervenció en Fisioteràpia III</t>
  </si>
  <si>
    <t>El volum de treball és coherent i proporcionat als crèdits de l’assignatura</t>
  </si>
  <si>
    <t>Procediments generals en Fisioteràpia II</t>
  </si>
  <si>
    <t>Esports col·lectius I : Futbol I</t>
  </si>
  <si>
    <t>Esports col·lectius I : Handbol I</t>
  </si>
  <si>
    <t>Principis didàctics de l'activitat física i l'esport</t>
  </si>
  <si>
    <t>Activitat física i esport per a persones amb alguna discapacitat</t>
  </si>
  <si>
    <r>
      <t xml:space="preserve">Les </t>
    </r>
    <r>
      <rPr>
        <b/>
        <sz val="8"/>
        <color rgb="FF000000"/>
        <rFont val="Verdana"/>
        <family val="2"/>
      </rPr>
      <t>pràctiques externes</t>
    </r>
    <r>
      <rPr>
        <sz val="8"/>
        <color rgb="FF000000"/>
        <rFont val="Verdana"/>
        <family val="2"/>
      </rPr>
      <t xml:space="preserve"> m'han permès aplicar els coneixements adquirits durant la titulació</t>
    </r>
  </si>
  <si>
    <r>
      <t xml:space="preserve">Les accions de </t>
    </r>
    <r>
      <rPr>
        <b/>
        <sz val="8"/>
        <color rgb="FF000000"/>
        <rFont val="Verdana"/>
        <family val="2"/>
      </rPr>
      <t>mobilitat</t>
    </r>
    <r>
      <rPr>
        <sz val="8"/>
        <color rgb="FF000000"/>
        <rFont val="Verdana"/>
        <family val="2"/>
      </rPr>
      <t xml:space="preserve"> que he realitzat han estat rellevants per al meu aprenentatge</t>
    </r>
  </si>
  <si>
    <r>
      <t>La formació rebuda m'ha permès millorar les meves</t>
    </r>
    <r>
      <rPr>
        <b/>
        <sz val="8"/>
        <color rgb="FF000000"/>
        <rFont val="Verdana"/>
        <family val="2"/>
      </rPr>
      <t xml:space="preserve"> habilitats comunicatives</t>
    </r>
  </si>
  <si>
    <r>
      <t xml:space="preserve">La formació rebuda m'ha permès millorar les </t>
    </r>
    <r>
      <rPr>
        <b/>
        <sz val="8"/>
        <color rgb="FF000000"/>
        <rFont val="Verdana"/>
        <family val="2"/>
      </rPr>
      <t xml:space="preserve">competències personals </t>
    </r>
    <r>
      <rPr>
        <sz val="8"/>
        <color rgb="FF000000"/>
        <rFont val="Verdana"/>
        <family val="2"/>
      </rPr>
      <t>(nivell de confiança, lideratge, aprenentatge autònom, presa de decisions, resolució de nous problemes, anàlisi crítica, treball en equip, etc.)</t>
    </r>
  </si>
  <si>
    <r>
      <t xml:space="preserve">La formació rebuda m'ha permès millorar les meves </t>
    </r>
    <r>
      <rPr>
        <b/>
        <sz val="8"/>
        <color rgb="FF000000"/>
        <rFont val="Verdana"/>
        <family val="2"/>
      </rPr>
      <t>capacitats</t>
    </r>
    <r>
      <rPr>
        <sz val="8"/>
        <color rgb="FF000000"/>
        <rFont val="Verdana"/>
        <family val="2"/>
      </rPr>
      <t xml:space="preserve"> per l’activitat </t>
    </r>
    <r>
      <rPr>
        <b/>
        <sz val="8"/>
        <color rgb="FF000000"/>
        <rFont val="Verdana"/>
        <family val="2"/>
      </rPr>
      <t>professional</t>
    </r>
  </si>
  <si>
    <r>
      <t>El</t>
    </r>
    <r>
      <rPr>
        <b/>
        <sz val="8"/>
        <color rgb="FF000000"/>
        <rFont val="Verdana"/>
        <family val="2"/>
      </rPr>
      <t xml:space="preserve"> treball de fi de grau </t>
    </r>
    <r>
      <rPr>
        <sz val="8"/>
        <color rgb="FF000000"/>
        <rFont val="Verdana"/>
        <family val="2"/>
      </rPr>
      <t xml:space="preserve">m'ha estat útil per consolidar les competències de la titulació </t>
    </r>
  </si>
  <si>
    <t>https://www.urv.cat/ca/universitat/normatives/normativa-pract-externes/  
https://tarragona.euses.cat/wp-content/uploads/2020/04/6.-Reglament-intern-organitzador-de-les-Pr%C3%A0ctiques-Externes-web.pdf</t>
  </si>
  <si>
    <t>https://www.urv.cat/ca/vida-campus/serveis/mobilitat/mob-estudis/
https://tarragona.euses.cat/sicue-erasmus-cafe-fisioterapia/</t>
  </si>
  <si>
    <t>https://www.urv.cat/ca/vida-campus/serveis/crai/que-us-oferim/treballfigrau/    
https://urv.libguides.com/c.php?g=680890&amp;p=4855491   
https://tarragona.euses.cat/wp-content/uploads/2020/04/5.-Reglament-intern-organitzador-de-Treball-Final-de-Grau-2019-def.pdf</t>
  </si>
  <si>
    <t xml:space="preserve">http://www.urv.cat/ca/estudis/graus/admissio/acces/               
https://www.urv.cat/ca/estudis/graus/admissio/acces/preinscripcio/
https://www.urv.cat/ca/estudis/graus/admissio/reconeixements/  
https://www.urv.cat/ca/estudis/graus/admissio/matricula/  
https://tarragona.euses.cat/estudis/grau-en-fisioterapia-tarragona/
https://tarragona.euses.cat/estudis/grau-ciencies-activitat-fisica-i-esport-cafe-tarragona/
https://tarragona.euses.cat/estudis/grau-ciencies-activitat-fisica-i-esport-cafe-tarragona/
https://www.urv.cat/ca/estudis/graus/tramits/#trasllat    
https://www.urv.cat/ca/estudis/graus/informacio-economica/beques/ </t>
  </si>
  <si>
    <t xml:space="preserve">https://www.urv.cat/ca/estudis/graus/admissio/matricula/    
https://www.urv.cat/ca/estudis/graus/admissio/matricula/doc-nou-acces-g/    
https://www.urv.cat/ca/estudis/graus/admissio/matricula/informacio-economica-nou-acces/    
https://urv.cat/ca/estudis/graus/tramits/    
https://www.urv.cat/ca/estudis/graus/admissio/orientacio/    
https://www.urv.cat/ca/estudis/graus/admissio/acollida/ 
</t>
  </si>
  <si>
    <t>4,28 anys</t>
  </si>
  <si>
    <t>4,66 anys</t>
  </si>
  <si>
    <t>5anys</t>
  </si>
  <si>
    <t>https://tarragona.euses.cat/els-nostres-estudis/graus-universitaris/ 
 http://www.urv.cat/ca/vida-campus/serveis/crai/
https://tarragona.euses.cat/wp-content/uploads/2020/04/5.-Processos-de- -clau.pdf</t>
  </si>
  <si>
    <t>https://tarragona.euses.cat/ /  
https://estudis.aqu.cat/euc/ca/Titulacions/Fitxa?titulacioId=10278  
https://estudis.aqu.cat/euc/ca/Titulacions/Fitxa?titulacioId=10293  
https://www.educacion.gob.es/ruct/consultaestudios?actual=estudios</t>
  </si>
  <si>
    <t>Noves tendències en l'activitat física i   de vida (entrenament personal)</t>
  </si>
  <si>
    <t>Noves tendències en l'activitat física i   de vida (BTT)</t>
  </si>
  <si>
    <t>Tutories acadèmiques i Serveis de suport: URV en xifres/Enquestes   docent/Resultat Enquestes/ENQ_S12 Valors estadístics sobre les preguntes de l’enquesta -&gt; Procés: Enquesta avaluació titulació inici/durant/final</t>
  </si>
  <si>
    <t>Instal·lacions: URV en xifres/Enquestes   docent/Resultat Enquestes/ENQ_S12 Valors estadístics sobre les preguntes de l’enquesta -&gt; Procés: Enquesta avaluació professorat Grau</t>
  </si>
  <si>
    <t xml:space="preserve">  i adequació del mobiliari</t>
  </si>
  <si>
    <t xml:space="preserve">  de les instal·lacions</t>
  </si>
  <si>
    <t>Font: URV en xifres/Enquestes   docent/Resultat Enquestes/ENQ_S12 Valors estadístics sobre les preguntes de l’enquesta -&gt; Procés: Enquesta pràctiques externes de grau</t>
  </si>
  <si>
    <t>Font: URV en xifres/Enquestes   docent/Resultat Enquestes/ENQ_S12 Valors estadístics sobre les preguntes de l’enquesta -&gt; Procés: Enquesta Treball Final de Grau</t>
  </si>
  <si>
    <t>Noves tendències en l'activitat física i la   de vida: Entrenament personal</t>
  </si>
  <si>
    <t>Font: URV en xifres/Enquestes   docent/Resultat Enquestes/ENQ_S12 Valors estadístics sobre les preguntes de l’enquesta -&gt; Procés: Enquesta avaluació professorat grau</t>
  </si>
  <si>
    <t>11. Les condicions i la   de les instal·lacions</t>
  </si>
  <si>
    <t>Noves tendències en l'activitat física i   de vida</t>
  </si>
  <si>
    <t>Noves tendències en l’activitat física i   de vida</t>
  </si>
  <si>
    <t>Data informe: 29/01/2024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</si>
</sst>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b/>
      <sz val="10"/>
      <color rgb="FF000000"/>
      <name val="Verdana"/>
      <family val="2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FF0000"/>
      <name val="Verdana"/>
      <family val="2"/>
    </font>
    <font>
      <b/>
      <sz val="10"/>
      <color indexed="8"/>
      <name val="Arial"/>
      <family val="2"/>
    </font>
    <font>
      <sz val="8"/>
      <color rgb="FF000000"/>
      <name val="Calibri"/>
      <family val="2"/>
      <scheme val="minor"/>
    </font>
    <font>
      <b/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Verdana"/>
      <family val="2"/>
    </font>
    <font>
      <sz val="8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  <family val="2"/>
    </font>
    <font>
      <u/>
      <sz val="8"/>
      <color rgb="FF000000"/>
      <name val="Tahoma"/>
      <family val="2"/>
    </font>
    <font>
      <b/>
      <sz val="10"/>
      <color rgb="FFFF0000"/>
      <name val="Verdana"/>
      <family val="2"/>
    </font>
    <font>
      <sz val="8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8"/>
      <color indexed="8"/>
      <name val="Verdana"/>
      <family val="2"/>
    </font>
    <font>
      <b/>
      <sz val="10"/>
      <color theme="1"/>
      <name val="Arial"/>
      <family val="2"/>
    </font>
    <font>
      <sz val="8"/>
      <color rgb="FFF8F8F8"/>
      <name val="Verdana"/>
      <family val="2"/>
    </font>
    <font>
      <sz val="8"/>
      <color rgb="FF343E47"/>
      <name val="Verdana"/>
      <family val="2"/>
    </font>
    <font>
      <i/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11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rgb="FF202124"/>
      <name val="Arial"/>
      <family val="2"/>
    </font>
    <font>
      <b/>
      <sz val="10"/>
      <color rgb="FFFF0000"/>
      <name val="Arial"/>
      <family val="2"/>
    </font>
    <font>
      <sz val="9"/>
      <color rgb="FFFF0000"/>
      <name val="Calibri Light"/>
      <family val="2"/>
      <scheme val="major"/>
    </font>
    <font>
      <sz val="11"/>
      <color rgb="FF000000"/>
      <name val="Calibri"/>
      <family val="2"/>
    </font>
    <font>
      <sz val="11"/>
      <color rgb="FF2B2E2F"/>
      <name val="Lucida Sans Unicode"/>
      <family val="2"/>
    </font>
    <font>
      <sz val="11"/>
      <color theme="1"/>
      <name val="Calibri"/>
      <family val="2"/>
    </font>
    <font>
      <sz val="7.5"/>
      <color theme="1"/>
      <name val="Verdana"/>
      <family val="2"/>
    </font>
    <font>
      <b/>
      <sz val="7.5"/>
      <color rgb="FFFFFFFF"/>
      <name val="Verdana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color rgb="FFFFFFFF"/>
      <name val="Verdana"/>
      <family val="2"/>
    </font>
    <font>
      <sz val="10"/>
      <color rgb="FFFF0000"/>
      <name val="Calibri"/>
      <family val="2"/>
      <scheme val="minor"/>
    </font>
    <font>
      <b/>
      <sz val="14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sz val="10"/>
      <color theme="0"/>
      <name val="Verdana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Verdana"/>
      <family val="2"/>
    </font>
    <font>
      <u/>
      <sz val="8"/>
      <name val="Verdana"/>
      <family val="2"/>
    </font>
    <font>
      <sz val="11"/>
      <color theme="0"/>
      <name val="Arial"/>
      <family val="2"/>
    </font>
    <font>
      <sz val="8"/>
      <color theme="0"/>
      <name val="Verdana"/>
      <family val="2"/>
    </font>
    <font>
      <b/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0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n">
        <color auto="1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indexed="64"/>
      </left>
      <right/>
      <top/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auto="1"/>
      </bottom>
      <diagonal/>
    </border>
    <border>
      <left/>
      <right/>
      <top style="medium">
        <color rgb="FFA6A6A6"/>
      </top>
      <bottom style="medium">
        <color auto="1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/>
      <top/>
      <bottom style="medium">
        <color indexed="64"/>
      </bottom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theme="0" tint="-0.34998626667073579"/>
      </top>
      <bottom/>
      <diagonal/>
    </border>
    <border>
      <left/>
      <right style="thin">
        <color auto="1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thin">
        <color indexed="64"/>
      </bottom>
      <diagonal/>
    </border>
    <border>
      <left/>
      <right/>
      <top style="medium">
        <color auto="1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auto="1"/>
      </top>
      <bottom/>
      <diagonal/>
    </border>
    <border>
      <left/>
      <right style="medium">
        <color theme="0" tint="-0.34998626667073579"/>
      </right>
      <top style="thin">
        <color auto="1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A5A5A5"/>
      </right>
      <top/>
      <bottom/>
      <diagonal/>
    </border>
    <border>
      <left/>
      <right style="medium">
        <color rgb="FFA5A5A5"/>
      </right>
      <top/>
      <bottom style="thin">
        <color rgb="FF000000"/>
      </bottom>
      <diagonal/>
    </border>
    <border>
      <left/>
      <right style="medium">
        <color rgb="FFA5A5A5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auto="1"/>
      </top>
      <bottom style="medium">
        <color theme="0" tint="-0.34998626667073579"/>
      </bottom>
      <diagonal/>
    </border>
    <border>
      <left/>
      <right/>
      <top/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theme="0" tint="-0.34998626667073579"/>
      </right>
      <top style="thin">
        <color auto="1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theme="0" tint="-0.34998626667073579"/>
      </bottom>
      <diagonal/>
    </border>
    <border>
      <left/>
      <right style="thin">
        <color indexed="64"/>
      </right>
      <top style="medium">
        <color theme="0" tint="-0.34998626667073579"/>
      </top>
      <bottom style="medium">
        <color auto="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4" fillId="0" borderId="0"/>
  </cellStyleXfs>
  <cellXfs count="119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0" fillId="0" borderId="0" xfId="0" applyNumberFormat="1"/>
    <xf numFmtId="0" fontId="4" fillId="0" borderId="0" xfId="0" applyFont="1" applyAlignment="1">
      <alignment horizontal="justify" vertical="center"/>
    </xf>
    <xf numFmtId="2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14" fontId="12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164" fontId="10" fillId="0" borderId="0" xfId="2" applyNumberFormat="1" applyFont="1"/>
    <xf numFmtId="0" fontId="6" fillId="0" borderId="0" xfId="0" applyFont="1" applyAlignment="1">
      <alignment horizontal="left" vertical="center"/>
    </xf>
    <xf numFmtId="10" fontId="0" fillId="0" borderId="0" xfId="1" applyNumberFormat="1" applyFont="1"/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2"/>
    <xf numFmtId="0" fontId="9" fillId="0" borderId="0" xfId="2" applyFont="1" applyAlignment="1">
      <alignment vertical="center"/>
    </xf>
    <xf numFmtId="10" fontId="9" fillId="0" borderId="0" xfId="2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9" fontId="9" fillId="0" borderId="0" xfId="0" applyNumberFormat="1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9" fillId="0" borderId="1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2" applyFont="1"/>
    <xf numFmtId="0" fontId="18" fillId="0" borderId="0" xfId="0" applyFont="1"/>
    <xf numFmtId="0" fontId="2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27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5" fillId="0" borderId="0" xfId="0" applyFont="1"/>
    <xf numFmtId="0" fontId="21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35" fillId="0" borderId="0" xfId="0" applyFont="1"/>
    <xf numFmtId="0" fontId="0" fillId="0" borderId="0" xfId="0" applyAlignment="1">
      <alignment vertical="center"/>
    </xf>
    <xf numFmtId="1" fontId="39" fillId="0" borderId="0" xfId="0" applyNumberFormat="1" applyFont="1" applyProtection="1">
      <protection locked="0"/>
    </xf>
    <xf numFmtId="49" fontId="39" fillId="0" borderId="0" xfId="0" applyNumberFormat="1" applyFont="1" applyProtection="1">
      <protection locked="0"/>
    </xf>
    <xf numFmtId="0" fontId="40" fillId="0" borderId="0" xfId="6" applyFont="1" applyAlignment="1">
      <alignment horizontal="left" wrapText="1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2" fontId="39" fillId="0" borderId="0" xfId="0" applyNumberFormat="1" applyFont="1" applyProtection="1">
      <protection locked="0"/>
    </xf>
    <xf numFmtId="0" fontId="28" fillId="0" borderId="0" xfId="0" applyFont="1" applyAlignment="1">
      <alignment horizontal="left" vertical="center"/>
    </xf>
    <xf numFmtId="10" fontId="0" fillId="0" borderId="0" xfId="0" applyNumberForma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0" fontId="22" fillId="0" borderId="0" xfId="0" applyNumberFormat="1" applyFont="1" applyAlignment="1">
      <alignment horizontal="center" vertical="center" wrapText="1"/>
    </xf>
    <xf numFmtId="0" fontId="37" fillId="0" borderId="0" xfId="0" applyFont="1"/>
    <xf numFmtId="0" fontId="25" fillId="0" borderId="0" xfId="0" applyFont="1" applyAlignment="1">
      <alignment vertical="center" wrapText="1"/>
    </xf>
    <xf numFmtId="0" fontId="42" fillId="0" borderId="0" xfId="0" applyFont="1" applyAlignment="1">
      <alignment horizontal="center"/>
    </xf>
    <xf numFmtId="0" fontId="3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5" fillId="0" borderId="0" xfId="2" applyAlignment="1">
      <alignment vertical="center"/>
    </xf>
    <xf numFmtId="0" fontId="25" fillId="16" borderId="16" xfId="2" applyFont="1" applyFill="1" applyBorder="1" applyAlignment="1">
      <alignment horizontal="center" vertical="center" wrapText="1"/>
    </xf>
    <xf numFmtId="0" fontId="13" fillId="0" borderId="22" xfId="8" applyFont="1" applyBorder="1" applyAlignment="1">
      <alignment vertical="center" wrapText="1"/>
    </xf>
    <xf numFmtId="0" fontId="4" fillId="0" borderId="22" xfId="9" applyFont="1" applyBorder="1" applyAlignment="1">
      <alignment horizontal="center" wrapText="1"/>
    </xf>
    <xf numFmtId="0" fontId="4" fillId="0" borderId="23" xfId="9" applyFont="1" applyBorder="1" applyAlignment="1">
      <alignment horizontal="center" wrapText="1"/>
    </xf>
    <xf numFmtId="0" fontId="13" fillId="0" borderId="1" xfId="8" applyFont="1" applyBorder="1" applyAlignment="1">
      <alignment vertical="center" wrapText="1"/>
    </xf>
    <xf numFmtId="0" fontId="4" fillId="0" borderId="1" xfId="7" applyFont="1" applyBorder="1" applyAlignment="1">
      <alignment wrapText="1"/>
    </xf>
    <xf numFmtId="0" fontId="4" fillId="0" borderId="1" xfId="7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4" fillId="0" borderId="25" xfId="9" applyFont="1" applyBorder="1" applyAlignment="1">
      <alignment horizontal="center" wrapText="1"/>
    </xf>
    <xf numFmtId="0" fontId="13" fillId="0" borderId="27" xfId="8" applyFont="1" applyBorder="1" applyAlignment="1">
      <alignment vertical="center" wrapText="1"/>
    </xf>
    <xf numFmtId="0" fontId="45" fillId="0" borderId="0" xfId="7" applyFont="1" applyAlignment="1">
      <alignment horizontal="left" wrapText="1"/>
    </xf>
    <xf numFmtId="0" fontId="13" fillId="0" borderId="1" xfId="8" applyFont="1" applyBorder="1" applyAlignment="1">
      <alignment horizontal="left" vertical="center" wrapText="1"/>
    </xf>
    <xf numFmtId="0" fontId="13" fillId="0" borderId="27" xfId="8" applyFont="1" applyBorder="1" applyAlignment="1">
      <alignment horizontal="left" vertical="center" wrapText="1"/>
    </xf>
    <xf numFmtId="0" fontId="4" fillId="0" borderId="34" xfId="8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22" xfId="8" applyFont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4" fillId="0" borderId="36" xfId="8" applyFont="1" applyBorder="1" applyAlignment="1">
      <alignment horizontal="center" vertical="center" wrapText="1"/>
    </xf>
    <xf numFmtId="0" fontId="4" fillId="0" borderId="27" xfId="8" applyFont="1" applyBorder="1" applyAlignment="1">
      <alignment horizontal="center" vertical="center" wrapText="1"/>
    </xf>
    <xf numFmtId="0" fontId="5" fillId="0" borderId="0" xfId="2" applyAlignment="1">
      <alignment wrapText="1"/>
    </xf>
    <xf numFmtId="0" fontId="4" fillId="0" borderId="0" xfId="2" applyFont="1" applyAlignment="1">
      <alignment wrapText="1"/>
    </xf>
    <xf numFmtId="0" fontId="5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13" fillId="20" borderId="18" xfId="7" applyFont="1" applyFill="1" applyBorder="1" applyAlignment="1">
      <alignment horizontal="center" vertical="center" wrapText="1"/>
    </xf>
    <xf numFmtId="0" fontId="13" fillId="20" borderId="16" xfId="7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4" fillId="0" borderId="21" xfId="7" applyFont="1" applyBorder="1" applyAlignment="1">
      <alignment horizontal="left" wrapText="1"/>
    </xf>
    <xf numFmtId="0" fontId="13" fillId="0" borderId="22" xfId="7" applyFont="1" applyBorder="1" applyAlignment="1">
      <alignment wrapText="1"/>
    </xf>
    <xf numFmtId="0" fontId="4" fillId="0" borderId="4" xfId="7" applyFont="1" applyBorder="1" applyAlignment="1">
      <alignment wrapText="1"/>
    </xf>
    <xf numFmtId="0" fontId="4" fillId="0" borderId="4" xfId="7" applyFont="1" applyBorder="1" applyAlignment="1">
      <alignment horizontal="center" wrapText="1"/>
    </xf>
    <xf numFmtId="0" fontId="4" fillId="0" borderId="4" xfId="9" applyFont="1" applyBorder="1" applyAlignment="1">
      <alignment horizontal="center" wrapText="1"/>
    </xf>
    <xf numFmtId="0" fontId="4" fillId="0" borderId="24" xfId="7" applyFont="1" applyBorder="1" applyAlignment="1">
      <alignment horizontal="left" wrapText="1"/>
    </xf>
    <xf numFmtId="0" fontId="13" fillId="0" borderId="1" xfId="7" applyFont="1" applyBorder="1" applyAlignment="1">
      <alignment wrapText="1"/>
    </xf>
    <xf numFmtId="0" fontId="13" fillId="0" borderId="1" xfId="7" applyFont="1" applyBorder="1" applyAlignment="1">
      <alignment horizontal="left" vertical="center" wrapText="1"/>
    </xf>
    <xf numFmtId="0" fontId="13" fillId="0" borderId="1" xfId="7" applyFont="1" applyBorder="1" applyAlignment="1">
      <alignment horizontal="left" wrapText="1"/>
    </xf>
    <xf numFmtId="0" fontId="4" fillId="0" borderId="1" xfId="7" applyFont="1" applyBorder="1" applyAlignment="1">
      <alignment horizontal="left" wrapText="1"/>
    </xf>
    <xf numFmtId="0" fontId="4" fillId="0" borderId="24" xfId="7" applyFont="1" applyBorder="1" applyAlignment="1">
      <alignment horizontal="left" vertical="center" wrapText="1"/>
    </xf>
    <xf numFmtId="0" fontId="13" fillId="20" borderId="1" xfId="7" applyFont="1" applyFill="1" applyBorder="1" applyAlignment="1">
      <alignment horizontal="center" wrapText="1"/>
    </xf>
    <xf numFmtId="0" fontId="25" fillId="16" borderId="1" xfId="0" applyFont="1" applyFill="1" applyBorder="1" applyAlignment="1">
      <alignment horizontal="center" vertical="center" wrapText="1"/>
    </xf>
    <xf numFmtId="0" fontId="4" fillId="8" borderId="1" xfId="7" applyFont="1" applyFill="1" applyBorder="1" applyAlignment="1">
      <alignment horizontal="left" wrapText="1"/>
    </xf>
    <xf numFmtId="0" fontId="13" fillId="8" borderId="1" xfId="7" applyFont="1" applyFill="1" applyBorder="1" applyAlignment="1">
      <alignment horizontal="left" wrapText="1"/>
    </xf>
    <xf numFmtId="0" fontId="4" fillId="8" borderId="1" xfId="7" applyFont="1" applyFill="1" applyBorder="1" applyAlignment="1">
      <alignment horizontal="center" wrapText="1"/>
    </xf>
    <xf numFmtId="0" fontId="4" fillId="8" borderId="1" xfId="9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25" fillId="0" borderId="38" xfId="0" applyFont="1" applyBorder="1" applyAlignment="1">
      <alignment wrapText="1"/>
    </xf>
    <xf numFmtId="0" fontId="25" fillId="0" borderId="18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21" xfId="0" applyFont="1" applyBorder="1" applyAlignment="1">
      <alignment wrapText="1"/>
    </xf>
    <xf numFmtId="0" fontId="22" fillId="0" borderId="22" xfId="0" applyFont="1" applyBorder="1" applyAlignment="1">
      <alignment wrapText="1"/>
    </xf>
    <xf numFmtId="0" fontId="22" fillId="0" borderId="34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24" xfId="0" applyFont="1" applyBorder="1" applyAlignment="1">
      <alignment horizontal="center" wrapText="1"/>
    </xf>
    <xf numFmtId="0" fontId="22" fillId="0" borderId="25" xfId="0" applyFont="1" applyBorder="1" applyAlignment="1">
      <alignment horizontal="center" wrapText="1"/>
    </xf>
    <xf numFmtId="0" fontId="22" fillId="0" borderId="24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10" fontId="25" fillId="0" borderId="18" xfId="0" applyNumberFormat="1" applyFont="1" applyBorder="1" applyAlignment="1">
      <alignment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2" fillId="8" borderId="1" xfId="0" applyFont="1" applyFill="1" applyBorder="1" applyAlignment="1">
      <alignment horizontal="center" wrapText="1"/>
    </xf>
    <xf numFmtId="0" fontId="22" fillId="8" borderId="1" xfId="0" applyFont="1" applyFill="1" applyBorder="1" applyAlignment="1">
      <alignment wrapText="1"/>
    </xf>
    <xf numFmtId="0" fontId="22" fillId="17" borderId="1" xfId="0" applyFont="1" applyFill="1" applyBorder="1" applyAlignment="1">
      <alignment wrapText="1"/>
    </xf>
    <xf numFmtId="0" fontId="25" fillId="0" borderId="17" xfId="0" applyFont="1" applyBorder="1" applyAlignment="1">
      <alignment wrapText="1"/>
    </xf>
    <xf numFmtId="0" fontId="13" fillId="20" borderId="13" xfId="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/>
    <xf numFmtId="0" fontId="48" fillId="0" borderId="0" xfId="0" applyFont="1"/>
    <xf numFmtId="10" fontId="22" fillId="0" borderId="0" xfId="0" applyNumberFormat="1" applyFont="1"/>
    <xf numFmtId="0" fontId="33" fillId="0" borderId="0" xfId="0" applyFont="1"/>
    <xf numFmtId="0" fontId="7" fillId="0" borderId="0" xfId="0" applyFont="1" applyAlignment="1">
      <alignment horizontal="center" vertical="center" wrapText="1"/>
    </xf>
    <xf numFmtId="0" fontId="49" fillId="0" borderId="0" xfId="0" applyFont="1"/>
    <xf numFmtId="0" fontId="50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23" fillId="0" borderId="0" xfId="0" applyFont="1"/>
    <xf numFmtId="0" fontId="13" fillId="0" borderId="0" xfId="0" applyFont="1"/>
    <xf numFmtId="0" fontId="7" fillId="2" borderId="29" xfId="2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3" borderId="41" xfId="2" applyFont="1" applyFill="1" applyBorder="1" applyAlignment="1">
      <alignment horizontal="center" vertical="center" wrapText="1"/>
    </xf>
    <xf numFmtId="0" fontId="8" fillId="3" borderId="48" xfId="2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0" fontId="9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9" fillId="0" borderId="12" xfId="1" applyNumberFormat="1" applyFont="1" applyBorder="1" applyAlignment="1">
      <alignment horizontal="center" vertical="center"/>
    </xf>
    <xf numFmtId="10" fontId="9" fillId="0" borderId="10" xfId="1" applyNumberFormat="1" applyFont="1" applyBorder="1" applyAlignment="1">
      <alignment horizontal="center" vertical="center"/>
    </xf>
    <xf numFmtId="10" fontId="9" fillId="0" borderId="10" xfId="2" applyNumberFormat="1" applyFont="1" applyBorder="1" applyAlignment="1">
      <alignment horizontal="center" vertical="center"/>
    </xf>
    <xf numFmtId="10" fontId="9" fillId="0" borderId="8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2" fontId="9" fillId="0" borderId="10" xfId="2" applyNumberFormat="1" applyFont="1" applyBorder="1" applyAlignment="1">
      <alignment horizontal="center" vertical="center"/>
    </xf>
    <xf numFmtId="2" fontId="9" fillId="0" borderId="8" xfId="2" applyNumberFormat="1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46" xfId="0" applyFont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/>
    </xf>
    <xf numFmtId="0" fontId="7" fillId="18" borderId="5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13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0" fontId="7" fillId="2" borderId="29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8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0" fontId="8" fillId="0" borderId="45" xfId="0" applyNumberFormat="1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0" fillId="0" borderId="45" xfId="0" applyBorder="1"/>
    <xf numFmtId="10" fontId="9" fillId="0" borderId="44" xfId="1" applyNumberFormat="1" applyFont="1" applyBorder="1" applyAlignment="1">
      <alignment horizontal="center" vertical="center"/>
    </xf>
    <xf numFmtId="2" fontId="9" fillId="0" borderId="44" xfId="2" applyNumberFormat="1" applyFont="1" applyBorder="1" applyAlignment="1">
      <alignment horizontal="center" vertical="center"/>
    </xf>
    <xf numFmtId="0" fontId="7" fillId="12" borderId="8" xfId="0" applyFont="1" applyFill="1" applyBorder="1" applyAlignment="1">
      <alignment vertical="center"/>
    </xf>
    <xf numFmtId="0" fontId="7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 vertical="center"/>
    </xf>
    <xf numFmtId="0" fontId="8" fillId="8" borderId="0" xfId="2" applyFont="1" applyFill="1" applyAlignment="1">
      <alignment horizontal="left" vertical="center" wrapText="1"/>
    </xf>
    <xf numFmtId="0" fontId="8" fillId="8" borderId="0" xfId="2" applyFont="1" applyFill="1" applyAlignment="1">
      <alignment horizontal="center" vertical="center" wrapText="1"/>
    </xf>
    <xf numFmtId="0" fontId="8" fillId="3" borderId="4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3" fontId="7" fillId="12" borderId="0" xfId="0" applyNumberFormat="1" applyFont="1" applyFill="1" applyAlignment="1">
      <alignment horizontal="center" vertical="center" wrapText="1"/>
    </xf>
    <xf numFmtId="0" fontId="34" fillId="0" borderId="0" xfId="0" applyFont="1"/>
    <xf numFmtId="0" fontId="29" fillId="0" borderId="0" xfId="0" applyFont="1" applyAlignment="1">
      <alignment vertical="center"/>
    </xf>
    <xf numFmtId="0" fontId="22" fillId="0" borderId="47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10" fontId="0" fillId="0" borderId="0" xfId="1" applyNumberFormat="1" applyFont="1" applyFill="1"/>
    <xf numFmtId="0" fontId="33" fillId="18" borderId="8" xfId="0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2" fontId="19" fillId="0" borderId="0" xfId="4" applyNumberFormat="1" applyFont="1" applyFill="1" applyBorder="1" applyAlignment="1">
      <alignment horizontal="center" vertical="center"/>
    </xf>
    <xf numFmtId="2" fontId="19" fillId="0" borderId="0" xfId="4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10" fontId="19" fillId="0" borderId="44" xfId="1" applyNumberFormat="1" applyFont="1" applyFill="1" applyBorder="1" applyAlignment="1">
      <alignment horizontal="center" vertical="center"/>
    </xf>
    <xf numFmtId="10" fontId="19" fillId="0" borderId="8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5" fillId="7" borderId="52" xfId="0" applyFont="1" applyFill="1" applyBorder="1" applyAlignment="1">
      <alignment horizontal="left"/>
    </xf>
    <xf numFmtId="0" fontId="19" fillId="0" borderId="44" xfId="4" applyNumberFormat="1" applyFont="1" applyFill="1" applyBorder="1" applyAlignment="1">
      <alignment horizontal="center" vertical="center"/>
    </xf>
    <xf numFmtId="0" fontId="19" fillId="0" borderId="44" xfId="4" applyNumberFormat="1" applyFont="1" applyFill="1" applyBorder="1" applyAlignment="1">
      <alignment horizontal="center" vertical="center" wrapText="1"/>
    </xf>
    <xf numFmtId="10" fontId="19" fillId="7" borderId="44" xfId="1" applyNumberFormat="1" applyFont="1" applyFill="1" applyBorder="1" applyAlignment="1">
      <alignment horizontal="center" vertical="center"/>
    </xf>
    <xf numFmtId="0" fontId="19" fillId="0" borderId="11" xfId="4" applyNumberFormat="1" applyFont="1" applyFill="1" applyBorder="1" applyAlignment="1">
      <alignment horizontal="center" vertical="center"/>
    </xf>
    <xf numFmtId="0" fontId="19" fillId="0" borderId="11" xfId="4" applyNumberFormat="1" applyFont="1" applyFill="1" applyBorder="1" applyAlignment="1">
      <alignment horizontal="center" vertical="center" wrapText="1"/>
    </xf>
    <xf numFmtId="10" fontId="19" fillId="7" borderId="11" xfId="1" applyNumberFormat="1" applyFont="1" applyFill="1" applyBorder="1" applyAlignment="1">
      <alignment horizontal="center" vertical="center"/>
    </xf>
    <xf numFmtId="0" fontId="19" fillId="0" borderId="47" xfId="4" applyNumberFormat="1" applyFont="1" applyFill="1" applyBorder="1" applyAlignment="1">
      <alignment horizontal="center" vertical="center"/>
    </xf>
    <xf numFmtId="0" fontId="19" fillId="0" borderId="47" xfId="4" applyNumberFormat="1" applyFont="1" applyFill="1" applyBorder="1" applyAlignment="1">
      <alignment horizontal="center" vertical="center" wrapText="1"/>
    </xf>
    <xf numFmtId="10" fontId="19" fillId="7" borderId="47" xfId="1" applyNumberFormat="1" applyFont="1" applyFill="1" applyBorder="1" applyAlignment="1">
      <alignment horizontal="center" vertical="center"/>
    </xf>
    <xf numFmtId="10" fontId="19" fillId="0" borderId="44" xfId="1" applyNumberFormat="1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19" fillId="0" borderId="44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Fill="1" applyBorder="1" applyAlignment="1">
      <alignment horizontal="center" vertical="center" wrapText="1"/>
    </xf>
    <xf numFmtId="0" fontId="16" fillId="8" borderId="0" xfId="0" applyFont="1" applyFill="1"/>
    <xf numFmtId="10" fontId="16" fillId="8" borderId="0" xfId="1" applyNumberFormat="1" applyFont="1" applyFill="1"/>
    <xf numFmtId="0" fontId="16" fillId="8" borderId="8" xfId="0" applyFont="1" applyFill="1" applyBorder="1"/>
    <xf numFmtId="0" fontId="19" fillId="14" borderId="11" xfId="4" applyNumberFormat="1" applyFont="1" applyFill="1" applyBorder="1" applyAlignment="1">
      <alignment horizontal="center" vertical="center" wrapText="1"/>
    </xf>
    <xf numFmtId="0" fontId="0" fillId="14" borderId="11" xfId="0" applyFill="1" applyBorder="1"/>
    <xf numFmtId="0" fontId="0" fillId="0" borderId="11" xfId="0" applyBorder="1" applyAlignment="1">
      <alignment horizontal="center"/>
    </xf>
    <xf numFmtId="0" fontId="4" fillId="14" borderId="0" xfId="0" applyFont="1" applyFill="1" applyAlignment="1">
      <alignment horizontal="center" vertical="center" wrapText="1"/>
    </xf>
    <xf numFmtId="0" fontId="19" fillId="0" borderId="8" xfId="4" applyNumberFormat="1" applyFont="1" applyFill="1" applyBorder="1" applyAlignment="1">
      <alignment horizontal="center" vertical="center"/>
    </xf>
    <xf numFmtId="0" fontId="19" fillId="0" borderId="62" xfId="4" applyNumberFormat="1" applyFont="1" applyFill="1" applyBorder="1" applyAlignment="1">
      <alignment horizontal="center" vertical="center"/>
    </xf>
    <xf numFmtId="0" fontId="19" fillId="0" borderId="62" xfId="4" applyNumberFormat="1" applyFont="1" applyFill="1" applyBorder="1" applyAlignment="1">
      <alignment horizontal="center" vertical="center" wrapText="1"/>
    </xf>
    <xf numFmtId="10" fontId="19" fillId="7" borderId="62" xfId="1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0" fontId="33" fillId="10" borderId="0" xfId="2" applyFont="1" applyFill="1" applyAlignment="1">
      <alignment horizontal="left" vertical="center" wrapText="1"/>
    </xf>
    <xf numFmtId="0" fontId="53" fillId="0" borderId="0" xfId="0" applyFont="1"/>
    <xf numFmtId="0" fontId="8" fillId="3" borderId="55" xfId="2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3" fillId="18" borderId="46" xfId="2" applyFont="1" applyFill="1" applyBorder="1" applyAlignment="1">
      <alignment horizontal="center" vertical="center" wrapText="1"/>
    </xf>
    <xf numFmtId="0" fontId="33" fillId="18" borderId="46" xfId="0" applyFont="1" applyFill="1" applyBorder="1" applyAlignment="1">
      <alignment horizontal="center" vertical="center"/>
    </xf>
    <xf numFmtId="2" fontId="7" fillId="14" borderId="14" xfId="2" applyNumberFormat="1" applyFont="1" applyFill="1" applyBorder="1" applyAlignment="1">
      <alignment horizontal="center" vertical="center" wrapText="1"/>
    </xf>
    <xf numFmtId="2" fontId="7" fillId="2" borderId="29" xfId="1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33" fillId="18" borderId="8" xfId="2" applyFont="1" applyFill="1" applyBorder="1" applyAlignment="1">
      <alignment horizontal="center" vertical="center"/>
    </xf>
    <xf numFmtId="10" fontId="9" fillId="0" borderId="45" xfId="1" applyNumberFormat="1" applyFont="1" applyBorder="1" applyAlignment="1">
      <alignment horizontal="center" vertical="center"/>
    </xf>
    <xf numFmtId="0" fontId="19" fillId="17" borderId="47" xfId="4" applyNumberFormat="1" applyFont="1" applyFill="1" applyBorder="1" applyAlignment="1">
      <alignment horizontal="center" vertical="center"/>
    </xf>
    <xf numFmtId="0" fontId="19" fillId="0" borderId="65" xfId="4" applyNumberFormat="1" applyFont="1" applyFill="1" applyBorder="1" applyAlignment="1">
      <alignment horizontal="center" vertical="center" wrapText="1"/>
    </xf>
    <xf numFmtId="0" fontId="19" fillId="0" borderId="8" xfId="4" applyNumberFormat="1" applyFont="1" applyFill="1" applyBorder="1" applyAlignment="1">
      <alignment horizontal="center" vertical="center" wrapText="1"/>
    </xf>
    <xf numFmtId="0" fontId="19" fillId="0" borderId="45" xfId="4" applyNumberFormat="1" applyFont="1" applyFill="1" applyBorder="1" applyAlignment="1">
      <alignment horizontal="center" vertical="center"/>
    </xf>
    <xf numFmtId="0" fontId="19" fillId="0" borderId="45" xfId="4" applyNumberFormat="1" applyFont="1" applyFill="1" applyBorder="1" applyAlignment="1">
      <alignment horizontal="center" vertical="center" wrapText="1"/>
    </xf>
    <xf numFmtId="0" fontId="16" fillId="0" borderId="0" xfId="0" applyFont="1"/>
    <xf numFmtId="0" fontId="36" fillId="0" borderId="0" xfId="0" applyFont="1" applyAlignment="1">
      <alignment horizontal="left" vertical="center"/>
    </xf>
    <xf numFmtId="0" fontId="55" fillId="0" borderId="0" xfId="2" applyFont="1"/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25" fillId="0" borderId="0" xfId="2" applyFont="1"/>
    <xf numFmtId="0" fontId="25" fillId="0" borderId="0" xfId="2" applyFont="1" applyAlignment="1">
      <alignment wrapText="1"/>
    </xf>
    <xf numFmtId="0" fontId="25" fillId="0" borderId="0" xfId="2" applyFont="1" applyAlignment="1">
      <alignment horizontal="center" vertical="center" wrapText="1"/>
    </xf>
    <xf numFmtId="0" fontId="2" fillId="0" borderId="0" xfId="2" applyFont="1"/>
    <xf numFmtId="1" fontId="4" fillId="0" borderId="0" xfId="8" applyNumberFormat="1" applyFont="1" applyAlignment="1">
      <alignment horizontal="left" vertical="center"/>
    </xf>
    <xf numFmtId="0" fontId="13" fillId="0" borderId="0" xfId="8" applyFont="1" applyAlignment="1">
      <alignment vertical="center" wrapText="1"/>
    </xf>
    <xf numFmtId="0" fontId="4" fillId="0" borderId="0" xfId="8" applyFont="1" applyAlignment="1">
      <alignment horizontal="center" wrapText="1"/>
    </xf>
    <xf numFmtId="0" fontId="4" fillId="0" borderId="0" xfId="7" applyFont="1" applyAlignment="1">
      <alignment wrapText="1"/>
    </xf>
    <xf numFmtId="0" fontId="4" fillId="0" borderId="0" xfId="2" applyFont="1" applyAlignment="1">
      <alignment horizontal="center"/>
    </xf>
    <xf numFmtId="0" fontId="4" fillId="0" borderId="0" xfId="8" applyFont="1" applyAlignment="1">
      <alignment wrapText="1"/>
    </xf>
    <xf numFmtId="0" fontId="4" fillId="0" borderId="0" xfId="7" applyFont="1" applyAlignment="1">
      <alignment horizontal="center" wrapText="1"/>
    </xf>
    <xf numFmtId="0" fontId="4" fillId="0" borderId="0" xfId="9" applyFont="1" applyAlignment="1">
      <alignment horizontal="center" wrapText="1"/>
    </xf>
    <xf numFmtId="0" fontId="44" fillId="0" borderId="0" xfId="7" applyFont="1" applyAlignment="1">
      <alignment horizontal="left" wrapText="1"/>
    </xf>
    <xf numFmtId="0" fontId="46" fillId="0" borderId="0" xfId="2" applyFont="1"/>
    <xf numFmtId="0" fontId="4" fillId="0" borderId="0" xfId="8" applyFont="1" applyAlignment="1">
      <alignment horizontal="left" vertical="center"/>
    </xf>
    <xf numFmtId="0" fontId="13" fillId="0" borderId="0" xfId="8" applyFont="1" applyAlignment="1">
      <alignment horizontal="left" vertical="center" wrapText="1"/>
    </xf>
    <xf numFmtId="0" fontId="4" fillId="0" borderId="0" xfId="2" applyFont="1" applyAlignment="1">
      <alignment horizontal="center" wrapText="1"/>
    </xf>
    <xf numFmtId="10" fontId="25" fillId="0" borderId="0" xfId="2" applyNumberFormat="1" applyFont="1" applyAlignment="1">
      <alignment wrapText="1"/>
    </xf>
    <xf numFmtId="0" fontId="45" fillId="0" borderId="0" xfId="7" applyFont="1" applyAlignment="1">
      <alignment horizontal="left" vertical="center"/>
    </xf>
    <xf numFmtId="0" fontId="5" fillId="0" borderId="0" xfId="2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4" fillId="0" borderId="0" xfId="8" applyFont="1" applyAlignment="1">
      <alignment horizontal="center" vertical="center" wrapText="1"/>
    </xf>
    <xf numFmtId="0" fontId="4" fillId="0" borderId="0" xfId="8" applyFont="1" applyAlignment="1">
      <alignment horizontal="left" wrapText="1"/>
    </xf>
    <xf numFmtId="0" fontId="4" fillId="0" borderId="0" xfId="9" applyFont="1" applyAlignment="1">
      <alignment horizontal="center" vertical="center" wrapText="1"/>
    </xf>
    <xf numFmtId="0" fontId="13" fillId="0" borderId="0" xfId="8" applyFont="1" applyAlignment="1">
      <alignment wrapText="1"/>
    </xf>
    <xf numFmtId="0" fontId="4" fillId="0" borderId="0" xfId="2" applyFont="1" applyAlignment="1">
      <alignment horizontal="center" vertical="center"/>
    </xf>
    <xf numFmtId="0" fontId="13" fillId="21" borderId="18" xfId="7" applyFont="1" applyFill="1" applyBorder="1" applyAlignment="1">
      <alignment horizontal="center" vertical="center" wrapText="1"/>
    </xf>
    <xf numFmtId="0" fontId="13" fillId="21" borderId="18" xfId="7" applyFont="1" applyFill="1" applyBorder="1" applyAlignment="1">
      <alignment horizontal="center" vertical="center"/>
    </xf>
    <xf numFmtId="0" fontId="13" fillId="21" borderId="19" xfId="7" applyFont="1" applyFill="1" applyBorder="1" applyAlignment="1">
      <alignment horizontal="center" vertical="center"/>
    </xf>
    <xf numFmtId="0" fontId="25" fillId="14" borderId="33" xfId="2" applyFont="1" applyFill="1" applyBorder="1" applyAlignment="1">
      <alignment horizontal="center" vertical="center"/>
    </xf>
    <xf numFmtId="0" fontId="25" fillId="14" borderId="19" xfId="2" applyFont="1" applyFill="1" applyBorder="1" applyAlignment="1">
      <alignment horizontal="center" vertical="center"/>
    </xf>
    <xf numFmtId="0" fontId="25" fillId="14" borderId="33" xfId="2" applyFont="1" applyFill="1" applyBorder="1" applyAlignment="1">
      <alignment horizontal="center" vertical="center" wrapText="1"/>
    </xf>
    <xf numFmtId="0" fontId="25" fillId="14" borderId="16" xfId="2" applyFont="1" applyFill="1" applyBorder="1" applyAlignment="1">
      <alignment horizontal="center" vertical="center" wrapText="1"/>
    </xf>
    <xf numFmtId="1" fontId="4" fillId="14" borderId="21" xfId="8" applyNumberFormat="1" applyFont="1" applyFill="1" applyBorder="1" applyAlignment="1">
      <alignment horizontal="center" vertical="center"/>
    </xf>
    <xf numFmtId="0" fontId="4" fillId="0" borderId="23" xfId="7" applyFont="1" applyBorder="1" applyAlignment="1">
      <alignment horizontal="center" vertical="center" wrapText="1"/>
    </xf>
    <xf numFmtId="1" fontId="4" fillId="14" borderId="24" xfId="8" applyNumberFormat="1" applyFont="1" applyFill="1" applyBorder="1" applyAlignment="1">
      <alignment horizontal="center" vertical="center"/>
    </xf>
    <xf numFmtId="0" fontId="4" fillId="0" borderId="25" xfId="7" applyFont="1" applyBorder="1" applyAlignment="1">
      <alignment horizontal="center" vertical="center" wrapText="1"/>
    </xf>
    <xf numFmtId="1" fontId="4" fillId="14" borderId="39" xfId="8" applyNumberFormat="1" applyFont="1" applyFill="1" applyBorder="1" applyAlignment="1">
      <alignment horizontal="center" vertical="center"/>
    </xf>
    <xf numFmtId="0" fontId="13" fillId="0" borderId="3" xfId="8" applyFont="1" applyBorder="1" applyAlignment="1">
      <alignment vertical="center" wrapText="1"/>
    </xf>
    <xf numFmtId="0" fontId="4" fillId="0" borderId="40" xfId="7" applyFont="1" applyBorder="1" applyAlignment="1">
      <alignment horizontal="center" vertical="center" wrapText="1"/>
    </xf>
    <xf numFmtId="1" fontId="4" fillId="14" borderId="26" xfId="8" applyNumberFormat="1" applyFont="1" applyFill="1" applyBorder="1" applyAlignment="1">
      <alignment horizontal="center" vertical="center"/>
    </xf>
    <xf numFmtId="0" fontId="4" fillId="0" borderId="28" xfId="7" applyFont="1" applyBorder="1" applyAlignment="1">
      <alignment horizontal="center" vertical="center" wrapText="1"/>
    </xf>
    <xf numFmtId="0" fontId="4" fillId="14" borderId="24" xfId="8" applyFont="1" applyFill="1" applyBorder="1" applyAlignment="1">
      <alignment horizontal="center" vertical="center"/>
    </xf>
    <xf numFmtId="0" fontId="4" fillId="0" borderId="23" xfId="8" applyFont="1" applyBorder="1" applyAlignment="1">
      <alignment horizontal="center" vertical="center" wrapText="1"/>
    </xf>
    <xf numFmtId="0" fontId="4" fillId="0" borderId="25" xfId="8" applyFont="1" applyBorder="1" applyAlignment="1">
      <alignment horizontal="center" vertical="center" wrapText="1"/>
    </xf>
    <xf numFmtId="0" fontId="4" fillId="14" borderId="26" xfId="8" applyFont="1" applyFill="1" applyBorder="1" applyAlignment="1">
      <alignment horizontal="center" vertical="center"/>
    </xf>
    <xf numFmtId="0" fontId="4" fillId="0" borderId="28" xfId="8" applyFont="1" applyBorder="1" applyAlignment="1">
      <alignment horizontal="center" vertical="center" wrapText="1"/>
    </xf>
    <xf numFmtId="0" fontId="4" fillId="14" borderId="21" xfId="8" applyFont="1" applyFill="1" applyBorder="1" applyAlignment="1">
      <alignment horizontal="center" vertical="center"/>
    </xf>
    <xf numFmtId="0" fontId="4" fillId="14" borderId="66" xfId="8" applyFont="1" applyFill="1" applyBorder="1" applyAlignment="1">
      <alignment horizontal="center" vertical="center"/>
    </xf>
    <xf numFmtId="0" fontId="13" fillId="0" borderId="4" xfId="8" applyFont="1" applyBorder="1" applyAlignment="1">
      <alignment vertical="center" wrapText="1"/>
    </xf>
    <xf numFmtId="0" fontId="4" fillId="0" borderId="68" xfId="8" applyFont="1" applyBorder="1" applyAlignment="1">
      <alignment horizontal="center" vertical="center" wrapText="1"/>
    </xf>
    <xf numFmtId="0" fontId="4" fillId="0" borderId="67" xfId="8" applyFont="1" applyBorder="1" applyAlignment="1">
      <alignment horizontal="center" vertical="center" wrapText="1"/>
    </xf>
    <xf numFmtId="0" fontId="25" fillId="22" borderId="33" xfId="2" applyFont="1" applyFill="1" applyBorder="1" applyAlignment="1">
      <alignment horizontal="center" vertical="center"/>
    </xf>
    <xf numFmtId="0" fontId="25" fillId="22" borderId="16" xfId="2" applyFont="1" applyFill="1" applyBorder="1" applyAlignment="1">
      <alignment horizontal="center" vertical="center"/>
    </xf>
    <xf numFmtId="0" fontId="25" fillId="22" borderId="33" xfId="2" applyFont="1" applyFill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21" xfId="9" applyFont="1" applyBorder="1" applyAlignment="1">
      <alignment horizontal="center" vertical="center" wrapText="1"/>
    </xf>
    <xf numFmtId="0" fontId="4" fillId="0" borderId="22" xfId="9" applyFont="1" applyBorder="1" applyAlignment="1">
      <alignment horizontal="center" vertical="center" wrapText="1"/>
    </xf>
    <xf numFmtId="0" fontId="4" fillId="0" borderId="23" xfId="9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24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4" fillId="0" borderId="25" xfId="9" applyFont="1" applyBorder="1" applyAlignment="1">
      <alignment horizontal="center" vertical="center" wrapText="1"/>
    </xf>
    <xf numFmtId="165" fontId="4" fillId="0" borderId="1" xfId="9" applyNumberFormat="1" applyFont="1" applyBorder="1" applyAlignment="1">
      <alignment horizontal="center" vertical="center" wrapText="1"/>
    </xf>
    <xf numFmtId="0" fontId="4" fillId="0" borderId="39" xfId="9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26" xfId="9" applyFont="1" applyBorder="1" applyAlignment="1">
      <alignment horizontal="center" vertical="center" wrapText="1"/>
    </xf>
    <xf numFmtId="0" fontId="4" fillId="0" borderId="27" xfId="9" applyFont="1" applyBorder="1" applyAlignment="1">
      <alignment horizontal="center" vertical="center" wrapText="1"/>
    </xf>
    <xf numFmtId="0" fontId="4" fillId="0" borderId="40" xfId="9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8" xfId="9" applyFont="1" applyBorder="1" applyAlignment="1">
      <alignment horizontal="center" vertical="center" wrapText="1"/>
    </xf>
    <xf numFmtId="0" fontId="4" fillId="0" borderId="66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67" xfId="9" applyFont="1" applyBorder="1" applyAlignment="1">
      <alignment horizontal="center" vertical="center" wrapText="1"/>
    </xf>
    <xf numFmtId="0" fontId="4" fillId="0" borderId="6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4" fillId="0" borderId="34" xfId="7" applyFont="1" applyBorder="1" applyAlignment="1">
      <alignment vertical="center" wrapText="1"/>
    </xf>
    <xf numFmtId="0" fontId="4" fillId="0" borderId="5" xfId="7" applyFont="1" applyBorder="1" applyAlignment="1">
      <alignment vertical="center" wrapText="1"/>
    </xf>
    <xf numFmtId="0" fontId="56" fillId="0" borderId="0" xfId="0" applyFont="1" applyAlignment="1">
      <alignment vertical="center"/>
    </xf>
    <xf numFmtId="0" fontId="4" fillId="0" borderId="3" xfId="8" applyFont="1" applyBorder="1" applyAlignment="1">
      <alignment horizontal="center" vertical="center" wrapText="1"/>
    </xf>
    <xf numFmtId="0" fontId="4" fillId="0" borderId="32" xfId="7" applyFont="1" applyBorder="1" applyAlignment="1">
      <alignment vertical="center" wrapText="1"/>
    </xf>
    <xf numFmtId="0" fontId="4" fillId="0" borderId="36" xfId="7" applyFont="1" applyBorder="1" applyAlignment="1">
      <alignment vertical="center" wrapText="1"/>
    </xf>
    <xf numFmtId="0" fontId="4" fillId="0" borderId="4" xfId="8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9" fillId="0" borderId="24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25" xfId="9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19" fillId="0" borderId="4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0" fillId="4" borderId="0" xfId="0" applyFill="1"/>
    <xf numFmtId="0" fontId="58" fillId="4" borderId="78" xfId="0" applyFont="1" applyFill="1" applyBorder="1" applyAlignment="1">
      <alignment vertical="top" wrapText="1"/>
    </xf>
    <xf numFmtId="10" fontId="58" fillId="4" borderId="78" xfId="0" applyNumberFormat="1" applyFont="1" applyFill="1" applyBorder="1" applyAlignment="1">
      <alignment vertical="top" wrapText="1"/>
    </xf>
    <xf numFmtId="10" fontId="9" fillId="0" borderId="12" xfId="1" applyNumberFormat="1" applyFont="1" applyFill="1" applyBorder="1" applyAlignment="1">
      <alignment horizontal="center" vertical="center"/>
    </xf>
    <xf numFmtId="10" fontId="9" fillId="0" borderId="10" xfId="1" applyNumberFormat="1" applyFont="1" applyFill="1" applyBorder="1" applyAlignment="1">
      <alignment horizontal="center" vertical="center"/>
    </xf>
    <xf numFmtId="10" fontId="9" fillId="0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5"/>
    <xf numFmtId="0" fontId="16" fillId="0" borderId="79" xfId="0" applyFont="1" applyBorder="1" applyAlignment="1">
      <alignment horizontal="left"/>
    </xf>
    <xf numFmtId="0" fontId="16" fillId="0" borderId="79" xfId="0" applyFont="1" applyBorder="1"/>
    <xf numFmtId="0" fontId="19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0" fontId="26" fillId="0" borderId="0" xfId="4" applyNumberFormat="1" applyFont="1" applyFill="1" applyBorder="1" applyAlignment="1">
      <alignment horizontal="center" vertical="center" wrapText="1"/>
    </xf>
    <xf numFmtId="0" fontId="19" fillId="0" borderId="44" xfId="2" applyFont="1" applyBorder="1" applyAlignment="1">
      <alignment horizontal="center" vertical="center"/>
    </xf>
    <xf numFmtId="0" fontId="19" fillId="0" borderId="8" xfId="2" applyFont="1" applyBorder="1" applyAlignment="1">
      <alignment horizontal="left" vertical="center"/>
    </xf>
    <xf numFmtId="2" fontId="19" fillId="0" borderId="8" xfId="2" applyNumberFormat="1" applyFont="1" applyBorder="1" applyAlignment="1">
      <alignment horizontal="center" vertical="center"/>
    </xf>
    <xf numFmtId="0" fontId="8" fillId="23" borderId="80" xfId="0" applyFont="1" applyFill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8" fillId="24" borderId="83" xfId="0" applyFont="1" applyFill="1" applyBorder="1" applyAlignment="1">
      <alignment horizontal="center" vertical="center" wrapText="1"/>
    </xf>
    <xf numFmtId="2" fontId="9" fillId="0" borderId="0" xfId="2" applyNumberFormat="1" applyFont="1" applyAlignment="1">
      <alignment horizontal="center" vertical="center"/>
    </xf>
    <xf numFmtId="0" fontId="8" fillId="24" borderId="84" xfId="0" applyFont="1" applyFill="1" applyBorder="1" applyAlignment="1">
      <alignment horizontal="center" vertical="center" wrapText="1"/>
    </xf>
    <xf numFmtId="0" fontId="60" fillId="0" borderId="0" xfId="0" applyFont="1"/>
    <xf numFmtId="0" fontId="61" fillId="18" borderId="5" xfId="0" applyFont="1" applyFill="1" applyBorder="1" applyAlignment="1">
      <alignment horizontal="center" vertical="center" wrapText="1"/>
    </xf>
    <xf numFmtId="10" fontId="8" fillId="0" borderId="87" xfId="0" applyNumberFormat="1" applyFont="1" applyBorder="1" applyAlignment="1">
      <alignment horizontal="center" vertical="center" wrapText="1"/>
    </xf>
    <xf numFmtId="0" fontId="33" fillId="10" borderId="0" xfId="0" applyFont="1" applyFill="1" applyAlignment="1">
      <alignment horizontal="left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44" xfId="0" applyFont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8" fillId="11" borderId="45" xfId="0" applyFont="1" applyFill="1" applyBorder="1" applyAlignment="1">
      <alignment horizontal="left" vertical="center"/>
    </xf>
    <xf numFmtId="0" fontId="9" fillId="4" borderId="4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/>
    </xf>
    <xf numFmtId="2" fontId="9" fillId="0" borderId="45" xfId="2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 wrapText="1"/>
    </xf>
    <xf numFmtId="0" fontId="19" fillId="0" borderId="45" xfId="4" applyFont="1" applyFill="1" applyBorder="1" applyAlignment="1">
      <alignment horizontal="center" vertical="center" wrapText="1"/>
    </xf>
    <xf numFmtId="10" fontId="19" fillId="0" borderId="45" xfId="4" applyNumberFormat="1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10" fontId="22" fillId="0" borderId="43" xfId="3" applyNumberFormat="1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10" fontId="22" fillId="0" borderId="47" xfId="3" applyNumberFormat="1" applyFont="1" applyFill="1" applyBorder="1" applyAlignment="1">
      <alignment horizontal="center" vertical="center" wrapText="1"/>
    </xf>
    <xf numFmtId="0" fontId="19" fillId="0" borderId="43" xfId="4" applyFont="1" applyFill="1" applyBorder="1" applyAlignment="1">
      <alignment horizontal="center" vertical="center" wrapText="1"/>
    </xf>
    <xf numFmtId="10" fontId="19" fillId="0" borderId="43" xfId="4" applyNumberFormat="1" applyFont="1" applyFill="1" applyBorder="1" applyAlignment="1">
      <alignment horizontal="center" vertical="center" wrapText="1"/>
    </xf>
    <xf numFmtId="0" fontId="19" fillId="0" borderId="47" xfId="4" applyFont="1" applyFill="1" applyBorder="1" applyAlignment="1">
      <alignment horizontal="center" vertical="center" wrapText="1"/>
    </xf>
    <xf numFmtId="10" fontId="19" fillId="0" borderId="47" xfId="4" applyNumberFormat="1" applyFont="1" applyFill="1" applyBorder="1" applyAlignment="1">
      <alignment horizontal="center" vertical="center" wrapText="1"/>
    </xf>
    <xf numFmtId="10" fontId="22" fillId="0" borderId="0" xfId="3" applyNumberFormat="1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10" fontId="19" fillId="0" borderId="0" xfId="4" applyNumberFormat="1" applyFont="1" applyFill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10" fontId="9" fillId="0" borderId="10" xfId="1" quotePrefix="1" applyNumberFormat="1" applyFont="1" applyFill="1" applyBorder="1" applyAlignment="1">
      <alignment horizontal="center" vertical="center"/>
    </xf>
    <xf numFmtId="0" fontId="59" fillId="0" borderId="0" xfId="0" applyFont="1"/>
    <xf numFmtId="0" fontId="63" fillId="0" borderId="0" xfId="0" applyFont="1"/>
    <xf numFmtId="0" fontId="64" fillId="0" borderId="0" xfId="0" applyFont="1"/>
    <xf numFmtId="0" fontId="15" fillId="0" borderId="0" xfId="0" applyFont="1" applyAlignment="1">
      <alignment wrapText="1"/>
    </xf>
    <xf numFmtId="0" fontId="7" fillId="18" borderId="14" xfId="0" applyFont="1" applyFill="1" applyBorder="1" applyAlignment="1">
      <alignment vertical="center" wrapText="1"/>
    </xf>
    <xf numFmtId="10" fontId="19" fillId="7" borderId="52" xfId="1" applyNumberFormat="1" applyFont="1" applyFill="1" applyBorder="1" applyAlignment="1">
      <alignment horizontal="center" vertical="center"/>
    </xf>
    <xf numFmtId="0" fontId="26" fillId="0" borderId="97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66" fillId="0" borderId="0" xfId="0" applyFont="1"/>
    <xf numFmtId="0" fontId="26" fillId="0" borderId="1" xfId="7" applyFont="1" applyBorder="1" applyAlignment="1">
      <alignment horizontal="left" wrapText="1"/>
    </xf>
    <xf numFmtId="0" fontId="19" fillId="0" borderId="1" xfId="9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" xfId="7" applyFont="1" applyBorder="1" applyAlignment="1">
      <alignment horizontal="center" wrapText="1"/>
    </xf>
    <xf numFmtId="0" fontId="19" fillId="0" borderId="1" xfId="7" applyFont="1" applyBorder="1" applyAlignment="1">
      <alignment horizontal="left" wrapText="1"/>
    </xf>
    <xf numFmtId="0" fontId="19" fillId="0" borderId="24" xfId="7" applyFont="1" applyBorder="1" applyAlignment="1">
      <alignment horizontal="left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67" fillId="0" borderId="0" xfId="0" applyFont="1"/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52" xfId="0" applyFont="1" applyBorder="1" applyAlignment="1">
      <alignment horizontal="center" vertical="center"/>
    </xf>
    <xf numFmtId="0" fontId="19" fillId="0" borderId="52" xfId="4" applyFont="1" applyFill="1" applyBorder="1" applyAlignment="1">
      <alignment horizontal="center" vertical="center" wrapText="1"/>
    </xf>
    <xf numFmtId="10" fontId="19" fillId="0" borderId="52" xfId="4" applyNumberFormat="1" applyFont="1" applyFill="1" applyBorder="1" applyAlignment="1">
      <alignment horizontal="center" vertical="center" wrapText="1"/>
    </xf>
    <xf numFmtId="0" fontId="19" fillId="0" borderId="99" xfId="4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68" fillId="0" borderId="0" xfId="0" applyFont="1" applyAlignment="1">
      <alignment vertical="center"/>
    </xf>
    <xf numFmtId="0" fontId="7" fillId="2" borderId="29" xfId="0" applyFont="1" applyFill="1" applyBorder="1" applyAlignment="1">
      <alignment vertical="center"/>
    </xf>
    <xf numFmtId="0" fontId="29" fillId="0" borderId="0" xfId="0" applyFont="1"/>
    <xf numFmtId="0" fontId="69" fillId="0" borderId="0" xfId="0" applyFont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 wrapText="1"/>
    </xf>
    <xf numFmtId="10" fontId="19" fillId="0" borderId="1" xfId="4" applyNumberFormat="1" applyFont="1" applyFill="1" applyBorder="1" applyAlignment="1">
      <alignment horizontal="center" vertical="center" wrapText="1"/>
    </xf>
    <xf numFmtId="10" fontId="19" fillId="0" borderId="1" xfId="3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0" fontId="19" fillId="0" borderId="1" xfId="1" applyNumberFormat="1" applyFont="1" applyBorder="1" applyAlignment="1">
      <alignment horizontal="center" vertical="center"/>
    </xf>
    <xf numFmtId="9" fontId="0" fillId="0" borderId="0" xfId="1" applyFont="1"/>
    <xf numFmtId="16" fontId="0" fillId="0" borderId="0" xfId="0" applyNumberFormat="1"/>
    <xf numFmtId="0" fontId="7" fillId="2" borderId="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1" fillId="18" borderId="7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9" fillId="26" borderId="44" xfId="2" applyFont="1" applyFill="1" applyBorder="1" applyAlignment="1">
      <alignment horizontal="center" vertical="center"/>
    </xf>
    <xf numFmtId="0" fontId="9" fillId="26" borderId="0" xfId="2" applyFont="1" applyFill="1" applyAlignment="1">
      <alignment horizontal="center" vertical="center"/>
    </xf>
    <xf numFmtId="0" fontId="19" fillId="26" borderId="0" xfId="2" applyFont="1" applyFill="1" applyAlignment="1">
      <alignment horizontal="center" vertical="center"/>
    </xf>
    <xf numFmtId="0" fontId="9" fillId="26" borderId="47" xfId="2" applyFont="1" applyFill="1" applyBorder="1" applyAlignment="1">
      <alignment horizontal="center" vertical="center"/>
    </xf>
    <xf numFmtId="0" fontId="9" fillId="26" borderId="12" xfId="2" applyFont="1" applyFill="1" applyBorder="1" applyAlignment="1">
      <alignment horizontal="center" vertical="center"/>
    </xf>
    <xf numFmtId="0" fontId="4" fillId="26" borderId="55" xfId="0" applyFont="1" applyFill="1" applyBorder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4" fillId="26" borderId="64" xfId="0" applyFont="1" applyFill="1" applyBorder="1" applyAlignment="1">
      <alignment horizontal="center" vertical="center"/>
    </xf>
    <xf numFmtId="0" fontId="4" fillId="26" borderId="47" xfId="0" applyFont="1" applyFill="1" applyBorder="1" applyAlignment="1">
      <alignment horizontal="center" vertical="center"/>
    </xf>
    <xf numFmtId="0" fontId="9" fillId="26" borderId="10" xfId="2" applyFont="1" applyFill="1" applyBorder="1" applyAlignment="1">
      <alignment horizontal="center" vertical="center"/>
    </xf>
    <xf numFmtId="10" fontId="9" fillId="26" borderId="8" xfId="1" applyNumberFormat="1" applyFont="1" applyFill="1" applyBorder="1" applyAlignment="1">
      <alignment horizontal="center" vertical="center"/>
    </xf>
    <xf numFmtId="0" fontId="8" fillId="0" borderId="9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65" fontId="9" fillId="0" borderId="45" xfId="0" applyNumberFormat="1" applyFont="1" applyBorder="1" applyAlignment="1">
      <alignment horizontal="center" vertical="center" wrapText="1"/>
    </xf>
    <xf numFmtId="165" fontId="8" fillId="0" borderId="75" xfId="0" applyNumberFormat="1" applyFont="1" applyBorder="1" applyAlignment="1">
      <alignment horizontal="center" vertical="center" wrapText="1"/>
    </xf>
    <xf numFmtId="165" fontId="8" fillId="0" borderId="45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 wrapText="1"/>
    </xf>
    <xf numFmtId="165" fontId="9" fillId="8" borderId="52" xfId="0" applyNumberFormat="1" applyFont="1" applyFill="1" applyBorder="1" applyAlignment="1">
      <alignment horizontal="center" vertical="center" wrapText="1"/>
    </xf>
    <xf numFmtId="165" fontId="8" fillId="8" borderId="52" xfId="0" applyNumberFormat="1" applyFont="1" applyFill="1" applyBorder="1" applyAlignment="1">
      <alignment horizontal="center" vertical="center" wrapText="1"/>
    </xf>
    <xf numFmtId="165" fontId="9" fillId="8" borderId="91" xfId="0" applyNumberFormat="1" applyFont="1" applyFill="1" applyBorder="1" applyAlignment="1">
      <alignment horizontal="center" vertical="center" wrapText="1"/>
    </xf>
    <xf numFmtId="0" fontId="9" fillId="8" borderId="52" xfId="0" applyFont="1" applyFill="1" applyBorder="1" applyAlignment="1">
      <alignment horizontal="center" vertical="center" wrapText="1"/>
    </xf>
    <xf numFmtId="165" fontId="0" fillId="0" borderId="0" xfId="0" applyNumberFormat="1"/>
    <xf numFmtId="0" fontId="19" fillId="0" borderId="48" xfId="4" applyFont="1" applyFill="1" applyBorder="1" applyAlignment="1">
      <alignment horizontal="center" vertical="center"/>
    </xf>
    <xf numFmtId="0" fontId="19" fillId="0" borderId="47" xfId="4" applyFont="1" applyFill="1" applyBorder="1" applyAlignment="1">
      <alignment horizontal="center" vertical="center"/>
    </xf>
    <xf numFmtId="0" fontId="19" fillId="0" borderId="51" xfId="4" applyFont="1" applyFill="1" applyBorder="1" applyAlignment="1">
      <alignment horizontal="center" vertical="center"/>
    </xf>
    <xf numFmtId="165" fontId="19" fillId="0" borderId="8" xfId="4" applyNumberFormat="1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44" xfId="4" applyFont="1" applyFill="1" applyBorder="1" applyAlignment="1">
      <alignment horizontal="center" vertical="center"/>
    </xf>
    <xf numFmtId="165" fontId="19" fillId="0" borderId="85" xfId="4" applyNumberFormat="1" applyFont="1" applyFill="1" applyBorder="1" applyAlignment="1">
      <alignment horizontal="center" vertical="center"/>
    </xf>
    <xf numFmtId="165" fontId="19" fillId="0" borderId="44" xfId="4" applyNumberFormat="1" applyFont="1" applyFill="1" applyBorder="1" applyAlignment="1">
      <alignment horizontal="center" vertical="center"/>
    </xf>
    <xf numFmtId="0" fontId="19" fillId="0" borderId="85" xfId="4" applyFont="1" applyFill="1" applyBorder="1" applyAlignment="1">
      <alignment horizontal="center" vertical="center"/>
    </xf>
    <xf numFmtId="165" fontId="19" fillId="0" borderId="48" xfId="4" applyNumberFormat="1" applyFont="1" applyFill="1" applyBorder="1" applyAlignment="1">
      <alignment horizontal="center" vertical="center"/>
    </xf>
    <xf numFmtId="165" fontId="19" fillId="0" borderId="47" xfId="4" applyNumberFormat="1" applyFont="1" applyFill="1" applyBorder="1" applyAlignment="1">
      <alignment horizontal="center" vertical="center"/>
    </xf>
    <xf numFmtId="165" fontId="19" fillId="0" borderId="51" xfId="4" applyNumberFormat="1" applyFont="1" applyFill="1" applyBorder="1" applyAlignment="1">
      <alignment horizontal="center" vertical="center"/>
    </xf>
    <xf numFmtId="1" fontId="19" fillId="0" borderId="8" xfId="4" applyNumberFormat="1" applyFont="1" applyFill="1" applyBorder="1" applyAlignment="1">
      <alignment horizontal="center" vertical="center"/>
    </xf>
    <xf numFmtId="2" fontId="20" fillId="0" borderId="0" xfId="4" applyNumberFormat="1" applyFont="1" applyFill="1" applyBorder="1" applyAlignment="1">
      <alignment horizontal="center" vertical="center"/>
    </xf>
    <xf numFmtId="0" fontId="9" fillId="0" borderId="8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4" xfId="0" quotePrefix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1" fontId="19" fillId="26" borderId="47" xfId="4" applyNumberFormat="1" applyFont="1" applyFill="1" applyBorder="1" applyAlignment="1">
      <alignment horizontal="center" vertical="center"/>
    </xf>
    <xf numFmtId="2" fontId="19" fillId="26" borderId="47" xfId="4" applyNumberFormat="1" applyFont="1" applyFill="1" applyBorder="1" applyAlignment="1">
      <alignment horizontal="center" vertical="center"/>
    </xf>
    <xf numFmtId="2" fontId="19" fillId="26" borderId="48" xfId="4" applyNumberFormat="1" applyFont="1" applyFill="1" applyBorder="1" applyAlignment="1">
      <alignment horizontal="center" vertical="center"/>
    </xf>
    <xf numFmtId="165" fontId="19" fillId="26" borderId="47" xfId="4" applyNumberFormat="1" applyFont="1" applyFill="1" applyBorder="1" applyAlignment="1">
      <alignment horizontal="center" vertical="center"/>
    </xf>
    <xf numFmtId="1" fontId="19" fillId="26" borderId="45" xfId="4" applyNumberFormat="1" applyFont="1" applyFill="1" applyBorder="1" applyAlignment="1">
      <alignment horizontal="center" vertical="center"/>
    </xf>
    <xf numFmtId="1" fontId="19" fillId="26" borderId="52" xfId="4" applyNumberFormat="1" applyFont="1" applyFill="1" applyBorder="1" applyAlignment="1">
      <alignment horizontal="center" vertical="center"/>
    </xf>
    <xf numFmtId="2" fontId="19" fillId="26" borderId="52" xfId="4" applyNumberFormat="1" applyFont="1" applyFill="1" applyBorder="1" applyAlignment="1">
      <alignment horizontal="center" vertical="center"/>
    </xf>
    <xf numFmtId="165" fontId="19" fillId="26" borderId="52" xfId="4" applyNumberFormat="1" applyFont="1" applyFill="1" applyBorder="1" applyAlignment="1">
      <alignment horizontal="center" vertical="center"/>
    </xf>
    <xf numFmtId="2" fontId="19" fillId="26" borderId="93" xfId="4" applyNumberFormat="1" applyFont="1" applyFill="1" applyBorder="1" applyAlignment="1">
      <alignment horizontal="center" vertical="center"/>
    </xf>
    <xf numFmtId="165" fontId="19" fillId="0" borderId="47" xfId="0" applyNumberFormat="1" applyFont="1" applyBorder="1" applyAlignment="1">
      <alignment horizontal="center" vertical="center" wrapText="1"/>
    </xf>
    <xf numFmtId="0" fontId="19" fillId="14" borderId="8" xfId="4" applyNumberFormat="1" applyFont="1" applyFill="1" applyBorder="1" applyAlignment="1">
      <alignment horizontal="center" vertical="center" wrapText="1"/>
    </xf>
    <xf numFmtId="0" fontId="19" fillId="14" borderId="103" xfId="4" applyNumberFormat="1" applyFont="1" applyFill="1" applyBorder="1" applyAlignment="1">
      <alignment horizontal="center" vertical="center" wrapText="1"/>
    </xf>
    <xf numFmtId="0" fontId="25" fillId="7" borderId="47" xfId="0" applyFont="1" applyFill="1" applyBorder="1" applyAlignment="1">
      <alignment horizontal="left"/>
    </xf>
    <xf numFmtId="0" fontId="25" fillId="7" borderId="9" xfId="0" applyFont="1" applyFill="1" applyBorder="1" applyAlignment="1">
      <alignment horizontal="left"/>
    </xf>
    <xf numFmtId="10" fontId="9" fillId="0" borderId="53" xfId="1" applyNumberFormat="1" applyFont="1" applyFill="1" applyBorder="1" applyAlignment="1">
      <alignment horizontal="center" vertical="center"/>
    </xf>
    <xf numFmtId="2" fontId="9" fillId="26" borderId="12" xfId="2" applyNumberFormat="1" applyFont="1" applyFill="1" applyBorder="1" applyAlignment="1">
      <alignment horizontal="center" vertical="center"/>
    </xf>
    <xf numFmtId="2" fontId="9" fillId="26" borderId="10" xfId="2" applyNumberFormat="1" applyFont="1" applyFill="1" applyBorder="1" applyAlignment="1">
      <alignment horizontal="center" vertical="center"/>
    </xf>
    <xf numFmtId="2" fontId="19" fillId="26" borderId="8" xfId="2" applyNumberFormat="1" applyFont="1" applyFill="1" applyBorder="1" applyAlignment="1">
      <alignment horizontal="center" vertical="center"/>
    </xf>
    <xf numFmtId="2" fontId="9" fillId="26" borderId="8" xfId="2" applyNumberFormat="1" applyFont="1" applyFill="1" applyBorder="1" applyAlignment="1">
      <alignment horizontal="center" vertical="center"/>
    </xf>
    <xf numFmtId="0" fontId="9" fillId="26" borderId="54" xfId="2" applyFont="1" applyFill="1" applyBorder="1" applyAlignment="1">
      <alignment horizontal="center" vertical="center"/>
    </xf>
    <xf numFmtId="0" fontId="9" fillId="26" borderId="53" xfId="2" applyFont="1" applyFill="1" applyBorder="1" applyAlignment="1">
      <alignment horizontal="center" vertical="center"/>
    </xf>
    <xf numFmtId="0" fontId="9" fillId="26" borderId="8" xfId="2" applyFont="1" applyFill="1" applyBorder="1" applyAlignment="1">
      <alignment horizontal="center" vertical="center"/>
    </xf>
    <xf numFmtId="0" fontId="0" fillId="26" borderId="0" xfId="0" applyFill="1"/>
    <xf numFmtId="164" fontId="10" fillId="26" borderId="0" xfId="2" applyNumberFormat="1" applyFont="1" applyFill="1"/>
    <xf numFmtId="10" fontId="9" fillId="26" borderId="10" xfId="1" applyNumberFormat="1" applyFont="1" applyFill="1" applyBorder="1" applyAlignment="1">
      <alignment horizontal="center" vertical="center"/>
    </xf>
    <xf numFmtId="0" fontId="9" fillId="26" borderId="44" xfId="0" applyFont="1" applyFill="1" applyBorder="1" applyAlignment="1">
      <alignment horizontal="center" vertical="center" wrapText="1"/>
    </xf>
    <xf numFmtId="0" fontId="9" fillId="26" borderId="45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22" fillId="26" borderId="44" xfId="0" quotePrefix="1" applyFont="1" applyFill="1" applyBorder="1" applyAlignment="1">
      <alignment horizontal="center" vertical="center" wrapText="1"/>
    </xf>
    <xf numFmtId="10" fontId="9" fillId="0" borderId="47" xfId="1" applyNumberFormat="1" applyFont="1" applyFill="1" applyBorder="1" applyAlignment="1">
      <alignment horizontal="center" vertical="center"/>
    </xf>
    <xf numFmtId="10" fontId="9" fillId="0" borderId="52" xfId="1" applyNumberFormat="1" applyFont="1" applyFill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10" fontId="19" fillId="0" borderId="47" xfId="4" applyNumberFormat="1" applyFont="1" applyFill="1" applyBorder="1" applyAlignment="1">
      <alignment horizontal="center" vertical="center"/>
    </xf>
    <xf numFmtId="10" fontId="19" fillId="0" borderId="8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3" fontId="9" fillId="26" borderId="8" xfId="0" applyNumberFormat="1" applyFont="1" applyFill="1" applyBorder="1" applyAlignment="1">
      <alignment horizontal="center" vertical="center" wrapText="1"/>
    </xf>
    <xf numFmtId="4" fontId="9" fillId="26" borderId="8" xfId="0" applyNumberFormat="1" applyFont="1" applyFill="1" applyBorder="1" applyAlignment="1">
      <alignment horizontal="center" vertical="center" wrapText="1"/>
    </xf>
    <xf numFmtId="2" fontId="9" fillId="0" borderId="47" xfId="2" applyNumberFormat="1" applyFont="1" applyBorder="1" applyAlignment="1">
      <alignment horizontal="center" vertical="center"/>
    </xf>
    <xf numFmtId="10" fontId="9" fillId="0" borderId="44" xfId="1" applyNumberFormat="1" applyFont="1" applyFill="1" applyBorder="1" applyAlignment="1">
      <alignment horizontal="center" vertical="center"/>
    </xf>
    <xf numFmtId="10" fontId="9" fillId="0" borderId="45" xfId="1" applyNumberFormat="1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0" fontId="19" fillId="0" borderId="52" xfId="1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/>
    </xf>
    <xf numFmtId="10" fontId="22" fillId="0" borderId="97" xfId="0" applyNumberFormat="1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10" fontId="22" fillId="0" borderId="89" xfId="0" applyNumberFormat="1" applyFont="1" applyBorder="1" applyAlignment="1">
      <alignment horizontal="center" vertical="center"/>
    </xf>
    <xf numFmtId="2" fontId="0" fillId="0" borderId="0" xfId="1" applyNumberFormat="1" applyFont="1"/>
    <xf numFmtId="0" fontId="26" fillId="0" borderId="44" xfId="4" applyNumberFormat="1" applyFont="1" applyFill="1" applyBorder="1" applyAlignment="1">
      <alignment horizontal="center" vertical="center" wrapText="1"/>
    </xf>
    <xf numFmtId="10" fontId="26" fillId="0" borderId="44" xfId="1" applyNumberFormat="1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top" wrapText="1"/>
    </xf>
    <xf numFmtId="4" fontId="9" fillId="26" borderId="47" xfId="0" applyNumberFormat="1" applyFont="1" applyFill="1" applyBorder="1" applyAlignment="1">
      <alignment horizontal="center" vertical="center" wrapText="1"/>
    </xf>
    <xf numFmtId="0" fontId="9" fillId="26" borderId="4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3" fontId="9" fillId="26" borderId="47" xfId="0" applyNumberFormat="1" applyFont="1" applyFill="1" applyBorder="1" applyAlignment="1">
      <alignment horizontal="center" vertical="center" wrapText="1"/>
    </xf>
    <xf numFmtId="2" fontId="7" fillId="18" borderId="8" xfId="0" applyNumberFormat="1" applyFont="1" applyFill="1" applyBorder="1" applyAlignment="1">
      <alignment horizontal="center" vertical="center" wrapText="1"/>
    </xf>
    <xf numFmtId="10" fontId="7" fillId="18" borderId="8" xfId="1" applyNumberFormat="1" applyFont="1" applyFill="1" applyBorder="1" applyAlignment="1">
      <alignment horizontal="center" vertical="center" wrapText="1"/>
    </xf>
    <xf numFmtId="1" fontId="7" fillId="18" borderId="8" xfId="1" applyNumberFormat="1" applyFont="1" applyFill="1" applyBorder="1" applyAlignment="1">
      <alignment horizontal="center" vertical="center" wrapText="1"/>
    </xf>
    <xf numFmtId="164" fontId="7" fillId="18" borderId="0" xfId="0" applyNumberFormat="1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5" fontId="26" fillId="0" borderId="47" xfId="4" applyNumberFormat="1" applyFont="1" applyFill="1" applyBorder="1" applyAlignment="1">
      <alignment horizontal="center" vertical="center"/>
    </xf>
    <xf numFmtId="2" fontId="19" fillId="0" borderId="52" xfId="4" applyNumberFormat="1" applyFont="1" applyFill="1" applyBorder="1" applyAlignment="1">
      <alignment horizontal="center" vertical="center"/>
    </xf>
    <xf numFmtId="2" fontId="19" fillId="0" borderId="47" xfId="4" applyNumberFormat="1" applyFont="1" applyFill="1" applyBorder="1" applyAlignment="1">
      <alignment horizontal="center" vertical="center"/>
    </xf>
    <xf numFmtId="10" fontId="19" fillId="0" borderId="11" xfId="1" applyNumberFormat="1" applyFont="1" applyFill="1" applyBorder="1" applyAlignment="1">
      <alignment horizontal="center" vertical="center" wrapText="1"/>
    </xf>
    <xf numFmtId="0" fontId="33" fillId="18" borderId="0" xfId="0" applyFont="1" applyFill="1" applyAlignment="1">
      <alignment horizontal="center" vertical="center"/>
    </xf>
    <xf numFmtId="0" fontId="33" fillId="18" borderId="4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2" fillId="26" borderId="8" xfId="0" applyFont="1" applyFill="1" applyBorder="1" applyAlignment="1">
      <alignment horizontal="center" vertical="center" wrapText="1"/>
    </xf>
    <xf numFmtId="0" fontId="22" fillId="26" borderId="44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left" wrapText="1"/>
    </xf>
    <xf numFmtId="0" fontId="71" fillId="0" borderId="0" xfId="0" applyFont="1" applyAlignment="1">
      <alignment horizontal="right" wrapText="1"/>
    </xf>
    <xf numFmtId="0" fontId="57" fillId="0" borderId="0" xfId="0" applyFont="1" applyAlignment="1">
      <alignment horizontal="left" wrapText="1"/>
    </xf>
    <xf numFmtId="0" fontId="57" fillId="0" borderId="0" xfId="0" applyFont="1" applyAlignment="1">
      <alignment wrapText="1"/>
    </xf>
    <xf numFmtId="0" fontId="57" fillId="0" borderId="0" xfId="0" applyFont="1" applyAlignment="1">
      <alignment horizontal="right" wrapText="1"/>
    </xf>
    <xf numFmtId="0" fontId="13" fillId="0" borderId="0" xfId="0" applyFont="1" applyAlignment="1">
      <alignment horizontal="left" vertical="center"/>
    </xf>
    <xf numFmtId="0" fontId="54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9" fontId="0" fillId="0" borderId="0" xfId="1" applyFont="1" applyFill="1"/>
    <xf numFmtId="0" fontId="3" fillId="0" borderId="0" xfId="0" applyFont="1" applyAlignment="1">
      <alignment vertical="center"/>
    </xf>
    <xf numFmtId="164" fontId="70" fillId="0" borderId="0" xfId="2" applyNumberFormat="1" applyFont="1"/>
    <xf numFmtId="10" fontId="59" fillId="0" borderId="0" xfId="0" applyNumberFormat="1" applyFont="1"/>
    <xf numFmtId="0" fontId="19" fillId="0" borderId="0" xfId="4" applyNumberFormat="1" applyFont="1" applyFill="1" applyBorder="1" applyAlignment="1">
      <alignment horizontal="center" vertical="center"/>
    </xf>
    <xf numFmtId="0" fontId="73" fillId="0" borderId="0" xfId="0" applyFont="1"/>
    <xf numFmtId="0" fontId="76" fillId="0" borderId="0" xfId="0" applyFont="1"/>
    <xf numFmtId="0" fontId="77" fillId="0" borderId="0" xfId="0" applyFont="1" applyAlignment="1">
      <alignment horizontal="center" vertical="center" wrapText="1"/>
    </xf>
    <xf numFmtId="10" fontId="73" fillId="0" borderId="0" xfId="1" applyNumberFormat="1" applyFont="1" applyFill="1"/>
    <xf numFmtId="0" fontId="33" fillId="0" borderId="0" xfId="0" applyFont="1" applyAlignment="1">
      <alignment horizontal="center" vertical="center" wrapText="1"/>
    </xf>
    <xf numFmtId="0" fontId="72" fillId="0" borderId="0" xfId="0" applyFont="1"/>
    <xf numFmtId="0" fontId="78" fillId="0" borderId="0" xfId="0" applyFont="1"/>
    <xf numFmtId="165" fontId="9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0" fontId="9" fillId="0" borderId="2" xfId="1" applyNumberFormat="1" applyFont="1" applyFill="1" applyBorder="1" applyAlignment="1">
      <alignment horizontal="center" vertical="center" wrapText="1"/>
    </xf>
    <xf numFmtId="10" fontId="9" fillId="0" borderId="0" xfId="1" applyNumberFormat="1" applyFont="1" applyFill="1" applyBorder="1" applyAlignment="1">
      <alignment horizontal="center" vertical="center" wrapText="1"/>
    </xf>
    <xf numFmtId="0" fontId="73" fillId="0" borderId="0" xfId="1" applyNumberFormat="1" applyFont="1" applyFill="1"/>
    <xf numFmtId="0" fontId="77" fillId="0" borderId="2" xfId="0" applyFont="1" applyBorder="1" applyAlignment="1">
      <alignment horizontal="center" vertical="center" wrapText="1"/>
    </xf>
    <xf numFmtId="0" fontId="43" fillId="0" borderId="0" xfId="0" applyFont="1"/>
    <xf numFmtId="164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9" fontId="0" fillId="0" borderId="0" xfId="0" applyNumberFormat="1"/>
    <xf numFmtId="165" fontId="9" fillId="0" borderId="69" xfId="0" applyNumberFormat="1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center" vertical="center" wrapText="1"/>
    </xf>
    <xf numFmtId="1" fontId="9" fillId="0" borderId="48" xfId="0" applyNumberFormat="1" applyFont="1" applyBorder="1" applyAlignment="1">
      <alignment horizontal="center" vertical="center" wrapText="1"/>
    </xf>
    <xf numFmtId="1" fontId="9" fillId="0" borderId="47" xfId="0" applyNumberFormat="1" applyFont="1" applyBorder="1" applyAlignment="1">
      <alignment horizontal="center" vertical="center" wrapText="1"/>
    </xf>
    <xf numFmtId="1" fontId="8" fillId="0" borderId="45" xfId="0" applyNumberFormat="1" applyFont="1" applyBorder="1" applyAlignment="1">
      <alignment horizontal="center" vertical="center" wrapText="1"/>
    </xf>
    <xf numFmtId="1" fontId="9" fillId="0" borderId="45" xfId="0" applyNumberFormat="1" applyFont="1" applyBorder="1" applyAlignment="1">
      <alignment horizontal="center" vertical="center" wrapText="1"/>
    </xf>
    <xf numFmtId="165" fontId="9" fillId="0" borderId="52" xfId="0" applyNumberFormat="1" applyFont="1" applyBorder="1" applyAlignment="1">
      <alignment horizontal="center" vertical="center" wrapText="1"/>
    </xf>
    <xf numFmtId="165" fontId="8" fillId="0" borderId="52" xfId="0" applyNumberFormat="1" applyFont="1" applyBorder="1" applyAlignment="1">
      <alignment horizontal="center" vertical="center" wrapText="1"/>
    </xf>
    <xf numFmtId="165" fontId="9" fillId="0" borderId="93" xfId="0" applyNumberFormat="1" applyFont="1" applyBorder="1" applyAlignment="1">
      <alignment horizontal="center" vertical="center" wrapText="1"/>
    </xf>
    <xf numFmtId="1" fontId="9" fillId="0" borderId="93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0" fontId="19" fillId="0" borderId="0" xfId="1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5" xfId="0" quotePrefix="1" applyFont="1" applyBorder="1" applyAlignment="1">
      <alignment horizontal="center" vertical="center" wrapText="1"/>
    </xf>
    <xf numFmtId="1" fontId="9" fillId="0" borderId="69" xfId="0" applyNumberFormat="1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165" fontId="9" fillId="0" borderId="44" xfId="0" applyNumberFormat="1" applyFont="1" applyBorder="1" applyAlignment="1">
      <alignment horizontal="center" vertical="center" wrapText="1"/>
    </xf>
    <xf numFmtId="165" fontId="8" fillId="0" borderId="44" xfId="0" applyNumberFormat="1" applyFont="1" applyBorder="1" applyAlignment="1">
      <alignment horizontal="center" vertical="center" wrapText="1"/>
    </xf>
    <xf numFmtId="165" fontId="9" fillId="0" borderId="85" xfId="0" applyNumberFormat="1" applyFont="1" applyBorder="1" applyAlignment="1">
      <alignment horizontal="center" vertical="center" wrapText="1"/>
    </xf>
    <xf numFmtId="10" fontId="0" fillId="0" borderId="0" xfId="1" applyNumberFormat="1" applyFont="1" applyFill="1" applyBorder="1"/>
    <xf numFmtId="1" fontId="19" fillId="0" borderId="47" xfId="4" applyNumberFormat="1" applyFont="1" applyFill="1" applyBorder="1" applyAlignment="1">
      <alignment horizontal="center" vertical="center"/>
    </xf>
    <xf numFmtId="165" fontId="19" fillId="0" borderId="69" xfId="4" applyNumberFormat="1" applyFont="1" applyFill="1" applyBorder="1" applyAlignment="1">
      <alignment horizontal="center" vertical="center"/>
    </xf>
    <xf numFmtId="165" fontId="19" fillId="0" borderId="45" xfId="4" applyNumberFormat="1" applyFont="1" applyFill="1" applyBorder="1" applyAlignment="1">
      <alignment horizontal="center" vertical="center"/>
    </xf>
    <xf numFmtId="165" fontId="19" fillId="0" borderId="93" xfId="4" applyNumberFormat="1" applyFont="1" applyFill="1" applyBorder="1" applyAlignment="1">
      <alignment horizontal="center" vertical="center"/>
    </xf>
    <xf numFmtId="165" fontId="19" fillId="0" borderId="52" xfId="4" applyNumberFormat="1" applyFont="1" applyFill="1" applyBorder="1" applyAlignment="1">
      <alignment horizontal="center" vertical="center"/>
    </xf>
    <xf numFmtId="1" fontId="19" fillId="0" borderId="0" xfId="4" applyNumberFormat="1" applyFont="1" applyFill="1" applyBorder="1" applyAlignment="1">
      <alignment horizontal="center" vertical="center"/>
    </xf>
    <xf numFmtId="165" fontId="19" fillId="0" borderId="0" xfId="4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19" fillId="0" borderId="0" xfId="4" applyNumberFormat="1" applyFont="1" applyFill="1" applyBorder="1" applyAlignment="1">
      <alignment horizontal="left" vertical="center"/>
    </xf>
    <xf numFmtId="2" fontId="22" fillId="0" borderId="0" xfId="0" applyNumberFormat="1" applyFont="1" applyAlignment="1">
      <alignment horizontal="left" vertical="center"/>
    </xf>
    <xf numFmtId="0" fontId="62" fillId="0" borderId="0" xfId="0" applyFont="1" applyAlignment="1">
      <alignment horizontal="left"/>
    </xf>
    <xf numFmtId="2" fontId="22" fillId="0" borderId="0" xfId="0" applyNumberFormat="1" applyFont="1" applyAlignment="1">
      <alignment horizontal="center" vertical="center"/>
    </xf>
    <xf numFmtId="0" fontId="62" fillId="0" borderId="0" xfId="0" applyFont="1"/>
    <xf numFmtId="9" fontId="0" fillId="0" borderId="0" xfId="1" applyFont="1" applyFill="1" applyBorder="1"/>
    <xf numFmtId="2" fontId="26" fillId="0" borderId="0" xfId="4" applyNumberFormat="1" applyFont="1" applyFill="1" applyBorder="1" applyAlignment="1">
      <alignment horizontal="center" vertical="center"/>
    </xf>
    <xf numFmtId="2" fontId="26" fillId="0" borderId="0" xfId="4" applyNumberFormat="1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10" fontId="19" fillId="0" borderId="0" xfId="4" applyNumberFormat="1" applyFont="1" applyFill="1" applyBorder="1" applyAlignment="1">
      <alignment horizontal="center" vertical="center"/>
    </xf>
    <xf numFmtId="165" fontId="26" fillId="0" borderId="47" xfId="0" applyNumberFormat="1" applyFont="1" applyBorder="1" applyAlignment="1">
      <alignment horizontal="center" vertical="center" wrapText="1"/>
    </xf>
    <xf numFmtId="165" fontId="26" fillId="0" borderId="0" xfId="4" applyNumberFormat="1" applyFont="1" applyFill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7" fillId="0" borderId="0" xfId="0" applyFont="1"/>
    <xf numFmtId="10" fontId="19" fillId="0" borderId="47" xfId="1" applyNumberFormat="1" applyFont="1" applyFill="1" applyBorder="1" applyAlignment="1">
      <alignment horizontal="center" vertical="center" wrapText="1"/>
    </xf>
    <xf numFmtId="10" fontId="19" fillId="0" borderId="0" xfId="1" applyNumberFormat="1" applyFont="1" applyFill="1" applyBorder="1" applyAlignment="1">
      <alignment horizontal="center" vertical="center" wrapText="1"/>
    </xf>
    <xf numFmtId="0" fontId="26" fillId="0" borderId="11" xfId="4" applyNumberFormat="1" applyFont="1" applyFill="1" applyBorder="1" applyAlignment="1">
      <alignment horizontal="center" vertical="center" wrapText="1"/>
    </xf>
    <xf numFmtId="1" fontId="19" fillId="0" borderId="44" xfId="1" applyNumberFormat="1" applyFont="1" applyFill="1" applyBorder="1" applyAlignment="1">
      <alignment horizontal="center" vertical="center" wrapText="1"/>
    </xf>
    <xf numFmtId="0" fontId="38" fillId="0" borderId="0" xfId="0" applyFont="1"/>
    <xf numFmtId="10" fontId="22" fillId="0" borderId="97" xfId="0" applyNumberFormat="1" applyFont="1" applyBorder="1" applyAlignment="1">
      <alignment horizontal="center" vertical="center" wrapText="1"/>
    </xf>
    <xf numFmtId="10" fontId="25" fillId="0" borderId="97" xfId="0" applyNumberFormat="1" applyFont="1" applyBorder="1" applyAlignment="1">
      <alignment horizontal="center" vertical="center" wrapText="1"/>
    </xf>
    <xf numFmtId="10" fontId="22" fillId="0" borderId="98" xfId="0" applyNumberFormat="1" applyFont="1" applyBorder="1" applyAlignment="1">
      <alignment horizontal="center" vertical="center" wrapText="1"/>
    </xf>
    <xf numFmtId="10" fontId="25" fillId="0" borderId="98" xfId="0" applyNumberFormat="1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4" fillId="0" borderId="24" xfId="7" applyFont="1" applyBorder="1" applyAlignment="1">
      <alignment horizontal="center" wrapText="1"/>
    </xf>
    <xf numFmtId="0" fontId="13" fillId="0" borderId="24" xfId="7" applyFont="1" applyBorder="1" applyAlignment="1">
      <alignment horizontal="left" wrapText="1"/>
    </xf>
    <xf numFmtId="0" fontId="8" fillId="3" borderId="44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8" fillId="3" borderId="45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26" fillId="3" borderId="43" xfId="2" applyFont="1" applyFill="1" applyBorder="1" applyAlignment="1">
      <alignment horizontal="center" vertical="center" wrapText="1"/>
    </xf>
    <xf numFmtId="0" fontId="8" fillId="3" borderId="45" xfId="2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3" borderId="43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3" borderId="44" xfId="2" applyFont="1" applyFill="1" applyBorder="1" applyAlignment="1">
      <alignment horizontal="left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8" fillId="3" borderId="43" xfId="2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2" xfId="2" applyFont="1" applyBorder="1" applyAlignment="1">
      <alignment horizontal="left" vertical="center" wrapText="1"/>
    </xf>
    <xf numFmtId="0" fontId="9" fillId="0" borderId="54" xfId="2" applyFont="1" applyBorder="1" applyAlignment="1">
      <alignment horizontal="left" vertical="center" wrapText="1"/>
    </xf>
    <xf numFmtId="0" fontId="7" fillId="2" borderId="29" xfId="2" applyFont="1" applyFill="1" applyBorder="1" applyAlignment="1">
      <alignment horizontal="left" vertical="center" wrapText="1"/>
    </xf>
    <xf numFmtId="0" fontId="9" fillId="0" borderId="53" xfId="2" applyFont="1" applyBorder="1" applyAlignment="1">
      <alignment horizontal="left" vertical="center"/>
    </xf>
    <xf numFmtId="0" fontId="7" fillId="14" borderId="14" xfId="2" applyFont="1" applyFill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9" fillId="0" borderId="54" xfId="2" applyFont="1" applyBorder="1" applyAlignment="1">
      <alignment horizontal="left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3" fillId="18" borderId="8" xfId="2" applyFont="1" applyFill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9" fillId="0" borderId="53" xfId="2" applyFont="1" applyBorder="1" applyAlignment="1">
      <alignment horizontal="left" vertical="center"/>
    </xf>
    <xf numFmtId="0" fontId="19" fillId="14" borderId="43" xfId="0" applyFont="1" applyFill="1" applyBorder="1" applyAlignment="1">
      <alignment horizontal="center" vertical="center" wrapText="1"/>
    </xf>
    <xf numFmtId="0" fontId="19" fillId="14" borderId="61" xfId="0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center" vertical="center" wrapText="1"/>
    </xf>
    <xf numFmtId="0" fontId="19" fillId="14" borderId="42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19" fillId="14" borderId="50" xfId="0" applyFont="1" applyFill="1" applyBorder="1" applyAlignment="1">
      <alignment horizontal="center" vertical="center" wrapText="1"/>
    </xf>
    <xf numFmtId="0" fontId="19" fillId="14" borderId="47" xfId="0" applyFont="1" applyFill="1" applyBorder="1" applyAlignment="1">
      <alignment horizontal="center" vertical="center" wrapText="1"/>
    </xf>
    <xf numFmtId="0" fontId="19" fillId="14" borderId="49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74" fillId="0" borderId="32" xfId="5" applyFont="1" applyBorder="1" applyAlignment="1">
      <alignment horizontal="left" vertical="center" wrapText="1"/>
    </xf>
    <xf numFmtId="0" fontId="74" fillId="0" borderId="2" xfId="5" applyFont="1" applyBorder="1" applyAlignment="1">
      <alignment horizontal="left" vertical="center" wrapText="1"/>
    </xf>
    <xf numFmtId="0" fontId="74" fillId="0" borderId="41" xfId="5" applyFont="1" applyBorder="1" applyAlignment="1">
      <alignment horizontal="left" vertical="center" wrapText="1"/>
    </xf>
    <xf numFmtId="0" fontId="74" fillId="0" borderId="0" xfId="5" applyFont="1" applyBorder="1" applyAlignment="1">
      <alignment horizontal="left" vertical="center" wrapText="1"/>
    </xf>
    <xf numFmtId="0" fontId="74" fillId="0" borderId="48" xfId="5" applyFont="1" applyBorder="1" applyAlignment="1">
      <alignment horizontal="left" vertical="center" wrapText="1"/>
    </xf>
    <xf numFmtId="0" fontId="74" fillId="0" borderId="47" xfId="5" applyFont="1" applyBorder="1" applyAlignment="1">
      <alignment horizontal="left" vertical="center" wrapText="1"/>
    </xf>
    <xf numFmtId="0" fontId="74" fillId="0" borderId="60" xfId="5" applyFont="1" applyBorder="1" applyAlignment="1">
      <alignment horizontal="left" vertical="center" wrapText="1"/>
    </xf>
    <xf numFmtId="0" fontId="74" fillId="0" borderId="43" xfId="5" applyFont="1" applyBorder="1" applyAlignment="1">
      <alignment horizontal="left" vertical="center" wrapText="1"/>
    </xf>
    <xf numFmtId="0" fontId="75" fillId="0" borderId="60" xfId="5" applyFont="1" applyBorder="1" applyAlignment="1">
      <alignment horizontal="left" vertical="center" wrapText="1"/>
    </xf>
    <xf numFmtId="0" fontId="75" fillId="0" borderId="43" xfId="5" applyFont="1" applyBorder="1" applyAlignment="1">
      <alignment horizontal="left" vertical="center" wrapText="1"/>
    </xf>
    <xf numFmtId="0" fontId="75" fillId="0" borderId="41" xfId="5" applyFont="1" applyBorder="1" applyAlignment="1">
      <alignment horizontal="left" vertical="center" wrapText="1"/>
    </xf>
    <xf numFmtId="0" fontId="75" fillId="0" borderId="0" xfId="5" applyFont="1" applyBorder="1" applyAlignment="1">
      <alignment horizontal="left" vertical="center" wrapText="1"/>
    </xf>
    <xf numFmtId="0" fontId="75" fillId="0" borderId="48" xfId="5" applyFont="1" applyBorder="1" applyAlignment="1">
      <alignment horizontal="left" vertical="center" wrapText="1"/>
    </xf>
    <xf numFmtId="0" fontId="75" fillId="0" borderId="47" xfId="5" applyFont="1" applyBorder="1" applyAlignment="1">
      <alignment horizontal="left" vertical="center" wrapText="1"/>
    </xf>
    <xf numFmtId="0" fontId="74" fillId="0" borderId="51" xfId="5" applyFont="1" applyBorder="1" applyAlignment="1">
      <alignment horizontal="left" vertical="center" wrapText="1"/>
    </xf>
    <xf numFmtId="0" fontId="74" fillId="0" borderId="8" xfId="5" applyFont="1" applyBorder="1" applyAlignment="1">
      <alignment horizontal="left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29" xfId="0" applyBorder="1" applyAlignment="1">
      <alignment horizontal="center"/>
    </xf>
    <xf numFmtId="0" fontId="52" fillId="0" borderId="8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0" fillId="0" borderId="30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88" xfId="0" applyFont="1" applyBorder="1" applyAlignment="1">
      <alignment horizontal="center" vertical="center" wrapText="1"/>
    </xf>
    <xf numFmtId="0" fontId="62" fillId="0" borderId="89" xfId="0" applyFont="1" applyBorder="1"/>
    <xf numFmtId="0" fontId="8" fillId="8" borderId="2" xfId="2" applyFont="1" applyFill="1" applyBorder="1" applyAlignment="1">
      <alignment horizontal="center" vertical="center" wrapText="1"/>
    </xf>
    <xf numFmtId="0" fontId="8" fillId="8" borderId="0" xfId="2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62" fillId="0" borderId="86" xfId="0" applyFont="1" applyBorder="1"/>
    <xf numFmtId="10" fontId="8" fillId="0" borderId="0" xfId="0" applyNumberFormat="1" applyFont="1" applyAlignment="1">
      <alignment horizontal="center" vertical="center" wrapText="1"/>
    </xf>
    <xf numFmtId="10" fontId="8" fillId="0" borderId="86" xfId="0" applyNumberFormat="1" applyFont="1" applyBorder="1" applyAlignment="1">
      <alignment horizontal="center" vertical="center" wrapText="1"/>
    </xf>
    <xf numFmtId="10" fontId="8" fillId="0" borderId="88" xfId="0" applyNumberFormat="1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3" fillId="10" borderId="0" xfId="2" applyFont="1" applyFill="1" applyAlignment="1">
      <alignment horizontal="left" vertical="center" wrapText="1"/>
    </xf>
    <xf numFmtId="0" fontId="33" fillId="10" borderId="0" xfId="2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8" fillId="8" borderId="0" xfId="2" applyFont="1" applyFill="1" applyAlignment="1">
      <alignment horizontal="left" vertical="center" wrapText="1"/>
    </xf>
    <xf numFmtId="0" fontId="8" fillId="8" borderId="0" xfId="2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10" fontId="8" fillId="0" borderId="47" xfId="0" applyNumberFormat="1" applyFont="1" applyBorder="1" applyAlignment="1">
      <alignment horizontal="center" vertical="center" wrapText="1"/>
    </xf>
    <xf numFmtId="10" fontId="8" fillId="0" borderId="43" xfId="0" applyNumberFormat="1" applyFont="1" applyBorder="1" applyAlignment="1">
      <alignment horizontal="center" vertical="center" wrapText="1"/>
    </xf>
    <xf numFmtId="10" fontId="8" fillId="0" borderId="89" xfId="0" applyNumberFormat="1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9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26" fillId="8" borderId="47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 wrapText="1"/>
    </xf>
    <xf numFmtId="0" fontId="26" fillId="8" borderId="45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 wrapText="1" indent="3"/>
    </xf>
    <xf numFmtId="0" fontId="19" fillId="0" borderId="0" xfId="4" applyFont="1" applyFill="1" applyBorder="1" applyAlignment="1">
      <alignment horizontal="center" vertical="center" wrapText="1"/>
    </xf>
    <xf numFmtId="0" fontId="19" fillId="0" borderId="47" xfId="4" applyFont="1" applyFill="1" applyBorder="1" applyAlignment="1">
      <alignment horizontal="left" vertical="center" wrapText="1" indent="3"/>
    </xf>
    <xf numFmtId="0" fontId="19" fillId="0" borderId="47" xfId="4" applyFont="1" applyFill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/>
    </xf>
    <xf numFmtId="0" fontId="26" fillId="8" borderId="43" xfId="0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6" fillId="8" borderId="52" xfId="0" applyFont="1" applyFill="1" applyBorder="1" applyAlignment="1">
      <alignment horizontal="center" vertical="center" wrapText="1"/>
    </xf>
    <xf numFmtId="0" fontId="19" fillId="0" borderId="43" xfId="4" applyFont="1" applyFill="1" applyBorder="1" applyAlignment="1">
      <alignment horizontal="center" vertical="center" wrapText="1"/>
    </xf>
    <xf numFmtId="10" fontId="19" fillId="0" borderId="43" xfId="4" applyNumberFormat="1" applyFont="1" applyFill="1" applyBorder="1" applyAlignment="1">
      <alignment horizontal="center" vertical="center" wrapText="1"/>
    </xf>
    <xf numFmtId="10" fontId="19" fillId="0" borderId="47" xfId="4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0" fontId="8" fillId="11" borderId="8" xfId="0" applyFont="1" applyFill="1" applyBorder="1" applyAlignment="1">
      <alignment horizontal="left" vertical="center"/>
    </xf>
    <xf numFmtId="0" fontId="19" fillId="0" borderId="52" xfId="0" applyFont="1" applyBorder="1" applyAlignment="1">
      <alignment horizontal="center" vertical="center" wrapText="1"/>
    </xf>
    <xf numFmtId="2" fontId="9" fillId="0" borderId="44" xfId="2" applyNumberFormat="1" applyFont="1" applyBorder="1" applyAlignment="1">
      <alignment horizontal="center" vertical="center"/>
    </xf>
    <xf numFmtId="2" fontId="9" fillId="0" borderId="45" xfId="2" applyNumberFormat="1" applyFont="1" applyBorder="1" applyAlignment="1">
      <alignment horizontal="center" vertical="center"/>
    </xf>
    <xf numFmtId="0" fontId="19" fillId="0" borderId="52" xfId="4" applyFont="1" applyFill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3" xfId="4" applyFont="1" applyFill="1" applyBorder="1" applyAlignment="1">
      <alignment horizontal="left" vertical="center" wrapText="1" indent="3"/>
    </xf>
    <xf numFmtId="0" fontId="19" fillId="0" borderId="45" xfId="4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center" wrapText="1"/>
    </xf>
    <xf numFmtId="0" fontId="19" fillId="0" borderId="7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2" fontId="9" fillId="0" borderId="52" xfId="2" applyNumberFormat="1" applyFont="1" applyBorder="1" applyAlignment="1">
      <alignment horizontal="center" vertical="center"/>
    </xf>
    <xf numFmtId="2" fontId="9" fillId="0" borderId="63" xfId="2" applyNumberFormat="1" applyFont="1" applyBorder="1" applyAlignment="1">
      <alignment horizontal="center" vertical="center"/>
    </xf>
    <xf numFmtId="0" fontId="8" fillId="8" borderId="52" xfId="2" applyFont="1" applyFill="1" applyBorder="1" applyAlignment="1">
      <alignment horizontal="center" vertical="center"/>
    </xf>
    <xf numFmtId="0" fontId="7" fillId="12" borderId="0" xfId="0" applyFont="1" applyFill="1" applyAlignment="1">
      <alignment horizontal="left" vertical="center"/>
    </xf>
    <xf numFmtId="0" fontId="7" fillId="12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horizontal="left" vertical="center" wrapText="1"/>
    </xf>
    <xf numFmtId="0" fontId="26" fillId="8" borderId="8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10" fontId="7" fillId="12" borderId="0" xfId="3" applyNumberFormat="1" applyFont="1" applyFill="1" applyBorder="1" applyAlignment="1">
      <alignment horizontal="center" vertical="center" wrapText="1"/>
    </xf>
    <xf numFmtId="10" fontId="9" fillId="0" borderId="52" xfId="1" applyNumberFormat="1" applyFont="1" applyFill="1" applyBorder="1" applyAlignment="1">
      <alignment horizontal="center" vertical="center" wrapText="1"/>
    </xf>
    <xf numFmtId="0" fontId="8" fillId="8" borderId="45" xfId="2" applyFont="1" applyFill="1" applyBorder="1" applyAlignment="1">
      <alignment horizontal="center" vertical="center"/>
    </xf>
    <xf numFmtId="4" fontId="7" fillId="12" borderId="0" xfId="0" applyNumberFormat="1" applyFont="1" applyFill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8" fillId="8" borderId="44" xfId="2" applyFont="1" applyFill="1" applyBorder="1" applyAlignment="1">
      <alignment horizontal="center" vertical="center"/>
    </xf>
    <xf numFmtId="0" fontId="33" fillId="10" borderId="0" xfId="0" applyFont="1" applyFill="1" applyAlignment="1">
      <alignment horizontal="left" vertical="center" wrapText="1"/>
    </xf>
    <xf numFmtId="0" fontId="9" fillId="26" borderId="47" xfId="0" applyFont="1" applyFill="1" applyBorder="1" applyAlignment="1">
      <alignment horizontal="center" vertical="center"/>
    </xf>
    <xf numFmtId="4" fontId="9" fillId="26" borderId="47" xfId="0" applyNumberFormat="1" applyFont="1" applyFill="1" applyBorder="1" applyAlignment="1">
      <alignment horizontal="center" vertical="center" wrapText="1"/>
    </xf>
    <xf numFmtId="0" fontId="9" fillId="26" borderId="47" xfId="0" applyFont="1" applyFill="1" applyBorder="1" applyAlignment="1">
      <alignment horizontal="center" vertical="center" wrapText="1"/>
    </xf>
    <xf numFmtId="10" fontId="19" fillId="26" borderId="8" xfId="1" applyNumberFormat="1" applyFont="1" applyFill="1" applyBorder="1" applyAlignment="1">
      <alignment horizontal="center" vertical="center" wrapText="1"/>
    </xf>
    <xf numFmtId="10" fontId="19" fillId="26" borderId="47" xfId="3" applyNumberFormat="1" applyFont="1" applyFill="1" applyBorder="1" applyAlignment="1">
      <alignment horizontal="center" vertical="center" wrapText="1"/>
    </xf>
    <xf numFmtId="4" fontId="9" fillId="26" borderId="8" xfId="0" applyNumberFormat="1" applyFont="1" applyFill="1" applyBorder="1" applyAlignment="1">
      <alignment horizontal="center" vertical="center"/>
    </xf>
    <xf numFmtId="0" fontId="9" fillId="26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9" fillId="26" borderId="4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2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 wrapText="1"/>
    </xf>
    <xf numFmtId="10" fontId="9" fillId="0" borderId="44" xfId="3" applyNumberFormat="1" applyFont="1" applyFill="1" applyBorder="1" applyAlignment="1">
      <alignment horizontal="center" vertical="center" wrapText="1"/>
    </xf>
    <xf numFmtId="3" fontId="7" fillId="12" borderId="0" xfId="0" applyNumberFormat="1" applyFont="1" applyFill="1" applyAlignment="1">
      <alignment horizontal="center" vertical="center" wrapText="1"/>
    </xf>
    <xf numFmtId="3" fontId="9" fillId="26" borderId="8" xfId="0" applyNumberFormat="1" applyFont="1" applyFill="1" applyBorder="1" applyAlignment="1">
      <alignment horizontal="center" vertical="center"/>
    </xf>
    <xf numFmtId="0" fontId="26" fillId="11" borderId="3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6" fillId="11" borderId="31" xfId="0" applyFont="1" applyFill="1" applyBorder="1" applyAlignment="1">
      <alignment horizontal="center" vertical="center" wrapText="1"/>
    </xf>
    <xf numFmtId="0" fontId="26" fillId="11" borderId="68" xfId="0" applyFont="1" applyFill="1" applyBorder="1" applyAlignment="1">
      <alignment horizontal="center" vertical="center" wrapText="1"/>
    </xf>
    <xf numFmtId="0" fontId="26" fillId="11" borderId="29" xfId="0" applyFont="1" applyFill="1" applyBorder="1" applyAlignment="1">
      <alignment horizontal="center" vertical="center" wrapText="1"/>
    </xf>
    <xf numFmtId="0" fontId="26" fillId="11" borderId="3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 indent="3"/>
    </xf>
    <xf numFmtId="0" fontId="22" fillId="0" borderId="47" xfId="0" applyFont="1" applyBorder="1" applyAlignment="1">
      <alignment horizontal="left" vertical="center" wrapText="1" indent="3"/>
    </xf>
    <xf numFmtId="0" fontId="61" fillId="2" borderId="29" xfId="0" applyFont="1" applyFill="1" applyBorder="1" applyAlignment="1">
      <alignment horizontal="center" vertical="center" wrapText="1"/>
    </xf>
    <xf numFmtId="0" fontId="61" fillId="2" borderId="100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9" fillId="14" borderId="47" xfId="0" applyFont="1" applyFill="1" applyBorder="1" applyAlignment="1">
      <alignment horizontal="left" vertical="center" wrapText="1"/>
    </xf>
    <xf numFmtId="0" fontId="19" fillId="0" borderId="9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9" fillId="8" borderId="52" xfId="0" applyFont="1" applyFill="1" applyBorder="1" applyAlignment="1">
      <alignment horizontal="left" vertical="center" wrapText="1"/>
    </xf>
    <xf numFmtId="0" fontId="9" fillId="14" borderId="45" xfId="0" applyFont="1" applyFill="1" applyBorder="1" applyAlignment="1">
      <alignment horizontal="left" vertical="center" wrapText="1"/>
    </xf>
    <xf numFmtId="10" fontId="19" fillId="0" borderId="0" xfId="4" applyNumberFormat="1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left" vertical="center" wrapText="1"/>
    </xf>
    <xf numFmtId="0" fontId="7" fillId="12" borderId="8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center" vertical="center" wrapText="1"/>
    </xf>
    <xf numFmtId="10" fontId="9" fillId="0" borderId="44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9" fillId="0" borderId="7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11" borderId="44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22" fillId="14" borderId="63" xfId="0" applyFont="1" applyFill="1" applyBorder="1" applyAlignment="1">
      <alignment horizontal="left" vertical="center" wrapText="1"/>
    </xf>
    <xf numFmtId="0" fontId="22" fillId="14" borderId="52" xfId="0" applyFont="1" applyFill="1" applyBorder="1" applyAlignment="1">
      <alignment horizontal="left" vertical="center" wrapText="1"/>
    </xf>
    <xf numFmtId="0" fontId="22" fillId="14" borderId="45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22" fillId="14" borderId="14" xfId="0" applyFont="1" applyFill="1" applyBorder="1" applyAlignment="1">
      <alignment horizontal="left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5" fillId="14" borderId="45" xfId="0" applyFont="1" applyFill="1" applyBorder="1" applyAlignment="1">
      <alignment horizontal="center" vertical="center" wrapText="1"/>
    </xf>
    <xf numFmtId="0" fontId="25" fillId="14" borderId="8" xfId="0" applyFont="1" applyFill="1" applyBorder="1" applyAlignment="1">
      <alignment horizontal="center" vertical="center" wrapText="1"/>
    </xf>
    <xf numFmtId="9" fontId="7" fillId="15" borderId="29" xfId="1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61" fillId="18" borderId="7" xfId="0" applyFont="1" applyFill="1" applyBorder="1" applyAlignment="1">
      <alignment horizontal="center" vertical="center" wrapText="1"/>
    </xf>
    <xf numFmtId="0" fontId="22" fillId="14" borderId="47" xfId="0" applyFont="1" applyFill="1" applyBorder="1" applyAlignment="1">
      <alignment horizontal="center" vertical="center" wrapText="1"/>
    </xf>
    <xf numFmtId="0" fontId="22" fillId="14" borderId="47" xfId="0" applyFont="1" applyFill="1" applyBorder="1" applyAlignment="1">
      <alignment horizontal="left" vertical="center" wrapText="1"/>
    </xf>
    <xf numFmtId="0" fontId="7" fillId="15" borderId="29" xfId="0" applyFont="1" applyFill="1" applyBorder="1" applyAlignment="1">
      <alignment horizontal="center" vertical="center" wrapText="1"/>
    </xf>
    <xf numFmtId="0" fontId="8" fillId="14" borderId="52" xfId="0" applyFont="1" applyFill="1" applyBorder="1" applyAlignment="1">
      <alignment horizontal="center"/>
    </xf>
    <xf numFmtId="0" fontId="22" fillId="0" borderId="52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9" fontId="22" fillId="0" borderId="52" xfId="0" applyNumberFormat="1" applyFont="1" applyBorder="1" applyAlignment="1">
      <alignment horizontal="center" vertical="center"/>
    </xf>
    <xf numFmtId="9" fontId="22" fillId="0" borderId="47" xfId="0" applyNumberFormat="1" applyFont="1" applyBorder="1" applyAlignment="1">
      <alignment horizontal="center" vertical="center"/>
    </xf>
    <xf numFmtId="9" fontId="22" fillId="0" borderId="99" xfId="0" applyNumberFormat="1" applyFont="1" applyBorder="1" applyAlignment="1">
      <alignment horizontal="center" vertical="center"/>
    </xf>
    <xf numFmtId="9" fontId="22" fillId="0" borderId="64" xfId="0" applyNumberFormat="1" applyFont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8" borderId="4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33" fillId="18" borderId="8" xfId="0" applyFont="1" applyFill="1" applyBorder="1" applyAlignment="1">
      <alignment horizontal="left" vertical="center"/>
    </xf>
    <xf numFmtId="0" fontId="8" fillId="8" borderId="44" xfId="0" applyFont="1" applyFill="1" applyBorder="1" applyAlignment="1">
      <alignment horizontal="center"/>
    </xf>
    <xf numFmtId="165" fontId="9" fillId="26" borderId="44" xfId="0" applyNumberFormat="1" applyFont="1" applyFill="1" applyBorder="1" applyAlignment="1">
      <alignment horizontal="center" vertical="center" wrapText="1"/>
    </xf>
    <xf numFmtId="165" fontId="9" fillId="26" borderId="52" xfId="0" applyNumberFormat="1" applyFont="1" applyFill="1" applyBorder="1" applyAlignment="1">
      <alignment horizontal="center" vertical="center" wrapText="1"/>
    </xf>
    <xf numFmtId="0" fontId="22" fillId="26" borderId="8" xfId="0" applyFont="1" applyFill="1" applyBorder="1" applyAlignment="1">
      <alignment horizontal="center" vertical="center" wrapText="1"/>
    </xf>
    <xf numFmtId="0" fontId="22" fillId="26" borderId="44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9" fillId="26" borderId="44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5" fillId="14" borderId="44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/>
    </xf>
    <xf numFmtId="0" fontId="77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5" fillId="14" borderId="47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26" fillId="0" borderId="44" xfId="4" applyFont="1" applyFill="1" applyBorder="1" applyAlignment="1">
      <alignment horizontal="center" vertical="center"/>
    </xf>
    <xf numFmtId="0" fontId="26" fillId="0" borderId="47" xfId="4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165" fontId="26" fillId="0" borderId="52" xfId="4" applyNumberFormat="1" applyFont="1" applyFill="1" applyBorder="1" applyAlignment="1">
      <alignment horizontal="center" vertical="center"/>
    </xf>
    <xf numFmtId="165" fontId="26" fillId="0" borderId="8" xfId="4" applyNumberFormat="1" applyFont="1" applyFill="1" applyBorder="1" applyAlignment="1">
      <alignment horizontal="center" vertical="center"/>
    </xf>
    <xf numFmtId="0" fontId="9" fillId="14" borderId="44" xfId="0" applyFont="1" applyFill="1" applyBorder="1" applyAlignment="1">
      <alignment horizontal="left" vertical="center" wrapText="1"/>
    </xf>
    <xf numFmtId="165" fontId="26" fillId="0" borderId="45" xfId="4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left" vertical="center" wrapText="1"/>
    </xf>
    <xf numFmtId="0" fontId="26" fillId="0" borderId="45" xfId="4" applyFont="1" applyFill="1" applyBorder="1" applyAlignment="1">
      <alignment horizontal="center" vertical="center"/>
    </xf>
    <xf numFmtId="1" fontId="26" fillId="0" borderId="45" xfId="4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165" fontId="26" fillId="0" borderId="47" xfId="4" applyNumberFormat="1" applyFont="1" applyFill="1" applyBorder="1" applyAlignment="1">
      <alignment horizontal="center" vertical="center"/>
    </xf>
    <xf numFmtId="165" fontId="26" fillId="0" borderId="44" xfId="4" applyNumberFormat="1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2" fontId="22" fillId="0" borderId="87" xfId="0" applyNumberFormat="1" applyFont="1" applyBorder="1" applyAlignment="1">
      <alignment horizontal="center" vertical="center"/>
    </xf>
    <xf numFmtId="2" fontId="26" fillId="0" borderId="45" xfId="4" applyNumberFormat="1" applyFont="1" applyFill="1" applyBorder="1" applyAlignment="1">
      <alignment horizontal="center" vertical="center"/>
    </xf>
    <xf numFmtId="0" fontId="19" fillId="14" borderId="45" xfId="0" applyFont="1" applyFill="1" applyBorder="1" applyAlignment="1">
      <alignment vertical="center" wrapText="1"/>
    </xf>
    <xf numFmtId="2" fontId="19" fillId="0" borderId="45" xfId="4" applyNumberFormat="1" applyFont="1" applyFill="1" applyBorder="1" applyAlignment="1">
      <alignment horizontal="center" vertical="center"/>
    </xf>
    <xf numFmtId="2" fontId="22" fillId="0" borderId="86" xfId="0" applyNumberFormat="1" applyFont="1" applyBorder="1" applyAlignment="1">
      <alignment horizontal="center" vertical="center"/>
    </xf>
    <xf numFmtId="2" fontId="26" fillId="0" borderId="47" xfId="4" applyNumberFormat="1" applyFont="1" applyFill="1" applyBorder="1" applyAlignment="1">
      <alignment horizontal="center" vertical="center"/>
    </xf>
    <xf numFmtId="2" fontId="19" fillId="0" borderId="47" xfId="4" applyNumberFormat="1" applyFont="1" applyFill="1" applyBorder="1" applyAlignment="1">
      <alignment horizontal="center" vertical="center"/>
    </xf>
    <xf numFmtId="2" fontId="22" fillId="0" borderId="97" xfId="0" applyNumberFormat="1" applyFont="1" applyBorder="1" applyAlignment="1">
      <alignment horizontal="center" vertical="center"/>
    </xf>
    <xf numFmtId="0" fontId="19" fillId="14" borderId="47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0" fontId="65" fillId="15" borderId="29" xfId="0" applyFont="1" applyFill="1" applyBorder="1" applyAlignment="1">
      <alignment horizontal="center" vertical="center" wrapText="1"/>
    </xf>
    <xf numFmtId="0" fontId="62" fillId="0" borderId="87" xfId="0" applyFont="1" applyBorder="1"/>
    <xf numFmtId="0" fontId="19" fillId="0" borderId="44" xfId="4" applyNumberFormat="1" applyFont="1" applyFill="1" applyBorder="1" applyAlignment="1">
      <alignment horizontal="center" vertical="center"/>
    </xf>
    <xf numFmtId="0" fontId="19" fillId="0" borderId="47" xfId="4" applyNumberFormat="1" applyFont="1" applyFill="1" applyBorder="1" applyAlignment="1">
      <alignment horizontal="center" vertical="center"/>
    </xf>
    <xf numFmtId="2" fontId="19" fillId="0" borderId="0" xfId="4" applyNumberFormat="1" applyFont="1" applyFill="1" applyBorder="1" applyAlignment="1">
      <alignment horizontal="center" vertical="center"/>
    </xf>
    <xf numFmtId="0" fontId="9" fillId="14" borderId="63" xfId="0" applyFont="1" applyFill="1" applyBorder="1" applyAlignment="1">
      <alignment horizontal="left" vertical="center" wrapText="1"/>
    </xf>
    <xf numFmtId="2" fontId="19" fillId="0" borderId="63" xfId="4" applyNumberFormat="1" applyFont="1" applyFill="1" applyBorder="1" applyAlignment="1">
      <alignment horizontal="center" vertical="center"/>
    </xf>
    <xf numFmtId="0" fontId="19" fillId="0" borderId="62" xfId="4" applyNumberFormat="1" applyFont="1" applyFill="1" applyBorder="1" applyAlignment="1">
      <alignment horizontal="center" vertical="center"/>
    </xf>
    <xf numFmtId="0" fontId="22" fillId="14" borderId="62" xfId="0" applyFont="1" applyFill="1" applyBorder="1" applyAlignment="1">
      <alignment horizontal="left" vertical="center" wrapText="1"/>
    </xf>
    <xf numFmtId="0" fontId="7" fillId="13" borderId="41" xfId="0" applyFont="1" applyFill="1" applyBorder="1" applyAlignment="1">
      <alignment horizontal="left" vertical="center" wrapText="1"/>
    </xf>
    <xf numFmtId="0" fontId="19" fillId="14" borderId="47" xfId="0" applyFont="1" applyFill="1" applyBorder="1" applyAlignment="1">
      <alignment vertical="center" wrapText="1"/>
    </xf>
    <xf numFmtId="2" fontId="19" fillId="0" borderId="47" xfId="4" quotePrefix="1" applyNumberFormat="1" applyFont="1" applyFill="1" applyBorder="1" applyAlignment="1">
      <alignment horizontal="center" vertical="center"/>
    </xf>
    <xf numFmtId="0" fontId="62" fillId="0" borderId="97" xfId="0" applyFont="1" applyBorder="1"/>
    <xf numFmtId="2" fontId="26" fillId="0" borderId="44" xfId="4" applyNumberFormat="1" applyFont="1" applyFill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/>
    </xf>
    <xf numFmtId="0" fontId="65" fillId="15" borderId="7" xfId="0" applyFont="1" applyFill="1" applyBorder="1" applyAlignment="1">
      <alignment horizontal="center" vertical="center" wrapText="1"/>
    </xf>
    <xf numFmtId="165" fontId="26" fillId="0" borderId="101" xfId="4" applyNumberFormat="1" applyFont="1" applyFill="1" applyBorder="1" applyAlignment="1">
      <alignment horizontal="center" vertical="center"/>
    </xf>
    <xf numFmtId="0" fontId="61" fillId="18" borderId="6" xfId="0" applyFont="1" applyFill="1" applyBorder="1" applyAlignment="1">
      <alignment horizontal="center" vertical="center" wrapText="1"/>
    </xf>
    <xf numFmtId="165" fontId="26" fillId="26" borderId="44" xfId="4" applyNumberFormat="1" applyFont="1" applyFill="1" applyBorder="1" applyAlignment="1">
      <alignment horizontal="center" vertical="center"/>
    </xf>
    <xf numFmtId="1" fontId="26" fillId="0" borderId="44" xfId="4" applyNumberFormat="1" applyFont="1" applyFill="1" applyBorder="1" applyAlignment="1">
      <alignment horizontal="center" vertical="center"/>
    </xf>
    <xf numFmtId="0" fontId="22" fillId="14" borderId="45" xfId="0" applyFont="1" applyFill="1" applyBorder="1" applyAlignment="1">
      <alignment horizontal="left" wrapText="1"/>
    </xf>
    <xf numFmtId="0" fontId="19" fillId="0" borderId="45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2" fillId="14" borderId="45" xfId="0" applyFont="1" applyFill="1" applyBorder="1" applyAlignment="1">
      <alignment horizontal="center"/>
    </xf>
    <xf numFmtId="0" fontId="33" fillId="18" borderId="8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 vertical="center" wrapText="1"/>
    </xf>
    <xf numFmtId="0" fontId="26" fillId="26" borderId="47" xfId="0" applyFont="1" applyFill="1" applyBorder="1" applyAlignment="1">
      <alignment horizontal="center"/>
    </xf>
    <xf numFmtId="0" fontId="33" fillId="10" borderId="0" xfId="0" applyFont="1" applyFill="1" applyAlignment="1">
      <alignment horizontal="left" vertical="center"/>
    </xf>
    <xf numFmtId="0" fontId="33" fillId="18" borderId="52" xfId="0" applyFont="1" applyFill="1" applyBorder="1" applyAlignment="1">
      <alignment horizontal="center"/>
    </xf>
    <xf numFmtId="0" fontId="33" fillId="18" borderId="8" xfId="0" applyFont="1" applyFill="1" applyBorder="1" applyAlignment="1">
      <alignment horizontal="left"/>
    </xf>
    <xf numFmtId="0" fontId="19" fillId="0" borderId="47" xfId="0" applyFont="1" applyBorder="1" applyAlignment="1">
      <alignment horizontal="center"/>
    </xf>
    <xf numFmtId="0" fontId="19" fillId="0" borderId="52" xfId="4" applyNumberFormat="1" applyFont="1" applyFill="1" applyBorder="1" applyAlignment="1">
      <alignment horizontal="center" vertical="center"/>
    </xf>
    <xf numFmtId="10" fontId="22" fillId="0" borderId="47" xfId="1" applyNumberFormat="1" applyFont="1" applyFill="1" applyBorder="1" applyAlignment="1">
      <alignment horizontal="center"/>
    </xf>
    <xf numFmtId="10" fontId="22" fillId="0" borderId="52" xfId="1" applyNumberFormat="1" applyFont="1" applyFill="1" applyBorder="1" applyAlignment="1">
      <alignment horizontal="center"/>
    </xf>
    <xf numFmtId="2" fontId="19" fillId="0" borderId="52" xfId="4" applyNumberFormat="1" applyFont="1" applyFill="1" applyBorder="1" applyAlignment="1">
      <alignment horizontal="center" vertical="center"/>
    </xf>
    <xf numFmtId="0" fontId="25" fillId="14" borderId="5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10" fontId="22" fillId="0" borderId="0" xfId="1" applyNumberFormat="1" applyFont="1" applyFill="1" applyBorder="1" applyAlignment="1">
      <alignment horizontal="center"/>
    </xf>
    <xf numFmtId="0" fontId="33" fillId="18" borderId="0" xfId="0" applyFont="1" applyFill="1" applyAlignment="1">
      <alignment horizontal="center" vertical="center"/>
    </xf>
    <xf numFmtId="2" fontId="19" fillId="0" borderId="44" xfId="4" applyNumberFormat="1" applyFont="1" applyFill="1" applyBorder="1" applyAlignment="1">
      <alignment horizontal="center" vertical="center"/>
    </xf>
    <xf numFmtId="0" fontId="33" fillId="18" borderId="0" xfId="0" applyFont="1" applyFill="1" applyAlignment="1">
      <alignment horizontal="center"/>
    </xf>
    <xf numFmtId="1" fontId="26" fillId="26" borderId="44" xfId="4" applyNumberFormat="1" applyFont="1" applyFill="1" applyBorder="1" applyAlignment="1">
      <alignment horizontal="center" vertical="center"/>
    </xf>
    <xf numFmtId="1" fontId="26" fillId="26" borderId="101" xfId="4" applyNumberFormat="1" applyFont="1" applyFill="1" applyBorder="1" applyAlignment="1">
      <alignment horizontal="center" vertical="center"/>
    </xf>
    <xf numFmtId="1" fontId="26" fillId="26" borderId="45" xfId="4" applyNumberFormat="1" applyFont="1" applyFill="1" applyBorder="1" applyAlignment="1">
      <alignment horizontal="center" vertical="center"/>
    </xf>
    <xf numFmtId="1" fontId="26" fillId="26" borderId="70" xfId="4" applyNumberFormat="1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left" vertical="center" wrapText="1"/>
    </xf>
    <xf numFmtId="0" fontId="19" fillId="14" borderId="45" xfId="0" applyFont="1" applyFill="1" applyBorder="1" applyAlignment="1">
      <alignment horizontal="left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9" fillId="14" borderId="52" xfId="0" applyFont="1" applyFill="1" applyBorder="1" applyAlignment="1">
      <alignment horizontal="left" vertical="center" wrapText="1"/>
    </xf>
    <xf numFmtId="0" fontId="25" fillId="14" borderId="47" xfId="0" applyFont="1" applyFill="1" applyBorder="1" applyAlignment="1">
      <alignment horizontal="left" vertical="center" wrapText="1"/>
    </xf>
    <xf numFmtId="0" fontId="25" fillId="14" borderId="8" xfId="0" applyFont="1" applyFill="1" applyBorder="1" applyAlignment="1">
      <alignment horizontal="left" vertical="center" wrapText="1"/>
    </xf>
    <xf numFmtId="0" fontId="22" fillId="14" borderId="11" xfId="0" applyFont="1" applyFill="1" applyBorder="1" applyAlignment="1">
      <alignment horizontal="left" vertical="center" wrapText="1"/>
    </xf>
    <xf numFmtId="0" fontId="33" fillId="18" borderId="47" xfId="0" applyFont="1" applyFill="1" applyBorder="1" applyAlignment="1">
      <alignment horizontal="center" vertical="center"/>
    </xf>
    <xf numFmtId="0" fontId="19" fillId="0" borderId="11" xfId="4" applyNumberFormat="1" applyFont="1" applyFill="1" applyBorder="1" applyAlignment="1">
      <alignment horizontal="center" vertical="center"/>
    </xf>
    <xf numFmtId="0" fontId="19" fillId="0" borderId="45" xfId="4" applyNumberFormat="1" applyFont="1" applyFill="1" applyBorder="1" applyAlignment="1">
      <alignment horizontal="center" vertical="center"/>
    </xf>
    <xf numFmtId="0" fontId="7" fillId="13" borderId="0" xfId="0" applyFont="1" applyFill="1" applyAlignment="1">
      <alignment horizontal="left" vertical="center"/>
    </xf>
    <xf numFmtId="0" fontId="22" fillId="14" borderId="8" xfId="0" applyFont="1" applyFill="1" applyBorder="1" applyAlignment="1">
      <alignment horizontal="left" vertical="center" wrapText="1"/>
    </xf>
    <xf numFmtId="0" fontId="33" fillId="13" borderId="32" xfId="0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3" fillId="13" borderId="41" xfId="0" applyFont="1" applyFill="1" applyBorder="1" applyAlignment="1">
      <alignment horizontal="center" vertical="center" wrapText="1"/>
    </xf>
    <xf numFmtId="0" fontId="33" fillId="13" borderId="0" xfId="0" applyFont="1" applyFill="1" applyAlignment="1">
      <alignment horizontal="center" vertical="center" wrapText="1"/>
    </xf>
    <xf numFmtId="0" fontId="33" fillId="13" borderId="41" xfId="0" applyFont="1" applyFill="1" applyBorder="1" applyAlignment="1">
      <alignment horizontal="left" vertical="center" wrapText="1"/>
    </xf>
    <xf numFmtId="0" fontId="33" fillId="13" borderId="0" xfId="0" applyFont="1" applyFill="1" applyAlignment="1">
      <alignment horizontal="left" vertical="center" wrapText="1"/>
    </xf>
    <xf numFmtId="0" fontId="25" fillId="25" borderId="87" xfId="0" applyFont="1" applyFill="1" applyBorder="1" applyAlignment="1">
      <alignment horizontal="left" vertical="center" wrapText="1"/>
    </xf>
    <xf numFmtId="0" fontId="7" fillId="15" borderId="30" xfId="0" applyFont="1" applyFill="1" applyBorder="1" applyAlignment="1">
      <alignment horizontal="center" vertical="center" wrapText="1"/>
    </xf>
    <xf numFmtId="10" fontId="19" fillId="0" borderId="11" xfId="4" applyNumberFormat="1" applyFont="1" applyFill="1" applyBorder="1" applyAlignment="1">
      <alignment horizontal="center" vertical="center" wrapText="1"/>
    </xf>
    <xf numFmtId="0" fontId="19" fillId="0" borderId="11" xfId="4" applyNumberFormat="1" applyFont="1" applyFill="1" applyBorder="1" applyAlignment="1">
      <alignment horizontal="center" vertical="center" wrapText="1"/>
    </xf>
    <xf numFmtId="10" fontId="19" fillId="0" borderId="11" xfId="1" applyNumberFormat="1" applyFont="1" applyFill="1" applyBorder="1" applyAlignment="1">
      <alignment horizontal="center" vertical="center" wrapText="1"/>
    </xf>
    <xf numFmtId="10" fontId="19" fillId="0" borderId="103" xfId="1" applyNumberFormat="1" applyFont="1" applyFill="1" applyBorder="1" applyAlignment="1">
      <alignment horizontal="center" vertical="center" wrapText="1"/>
    </xf>
    <xf numFmtId="0" fontId="33" fillId="10" borderId="41" xfId="0" applyFont="1" applyFill="1" applyBorder="1" applyAlignment="1">
      <alignment horizontal="left"/>
    </xf>
    <xf numFmtId="0" fontId="33" fillId="10" borderId="0" xfId="0" applyFont="1" applyFill="1" applyAlignment="1">
      <alignment horizontal="left"/>
    </xf>
    <xf numFmtId="0" fontId="7" fillId="15" borderId="41" xfId="0" applyFont="1" applyFill="1" applyBorder="1" applyAlignment="1">
      <alignment horizontal="center" vertical="center" wrapText="1"/>
    </xf>
    <xf numFmtId="10" fontId="19" fillId="0" borderId="103" xfId="4" applyNumberFormat="1" applyFont="1" applyFill="1" applyBorder="1" applyAlignment="1">
      <alignment horizontal="center" vertical="center" wrapText="1"/>
    </xf>
    <xf numFmtId="0" fontId="19" fillId="0" borderId="103" xfId="4" applyNumberFormat="1" applyFont="1" applyFill="1" applyBorder="1" applyAlignment="1">
      <alignment horizontal="center" vertical="center" wrapText="1"/>
    </xf>
    <xf numFmtId="0" fontId="19" fillId="26" borderId="45" xfId="0" applyFont="1" applyFill="1" applyBorder="1" applyAlignment="1">
      <alignment horizontal="center"/>
    </xf>
    <xf numFmtId="1" fontId="26" fillId="26" borderId="52" xfId="4" applyNumberFormat="1" applyFont="1" applyFill="1" applyBorder="1" applyAlignment="1">
      <alignment horizontal="center" vertical="center"/>
    </xf>
    <xf numFmtId="1" fontId="26" fillId="26" borderId="102" xfId="4" applyNumberFormat="1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left" vertical="center" wrapText="1"/>
    </xf>
    <xf numFmtId="2" fontId="19" fillId="26" borderId="44" xfId="4" applyNumberFormat="1" applyFont="1" applyFill="1" applyBorder="1" applyAlignment="1">
      <alignment horizontal="center" vertical="center"/>
    </xf>
    <xf numFmtId="2" fontId="19" fillId="26" borderId="52" xfId="4" applyNumberFormat="1" applyFont="1" applyFill="1" applyBorder="1" applyAlignment="1">
      <alignment horizontal="center" vertical="center"/>
    </xf>
    <xf numFmtId="165" fontId="26" fillId="0" borderId="102" xfId="4" applyNumberFormat="1" applyFont="1" applyFill="1" applyBorder="1" applyAlignment="1">
      <alignment horizontal="center" vertical="center"/>
    </xf>
    <xf numFmtId="2" fontId="26" fillId="0" borderId="8" xfId="0" applyNumberFormat="1" applyFont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left" vertical="center" wrapText="1"/>
    </xf>
    <xf numFmtId="2" fontId="26" fillId="0" borderId="0" xfId="4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0" fontId="62" fillId="0" borderId="0" xfId="0" applyFont="1"/>
    <xf numFmtId="0" fontId="26" fillId="26" borderId="44" xfId="0" applyFont="1" applyFill="1" applyBorder="1" applyAlignment="1">
      <alignment horizontal="center"/>
    </xf>
    <xf numFmtId="1" fontId="26" fillId="0" borderId="0" xfId="4" applyNumberFormat="1" applyFont="1" applyFill="1" applyBorder="1" applyAlignment="1">
      <alignment horizontal="center" vertical="center"/>
    </xf>
    <xf numFmtId="165" fontId="26" fillId="0" borderId="0" xfId="4" applyNumberFormat="1" applyFont="1" applyFill="1" applyBorder="1" applyAlignment="1">
      <alignment horizontal="center" vertical="center"/>
    </xf>
    <xf numFmtId="0" fontId="19" fillId="0" borderId="8" xfId="4" applyNumberFormat="1" applyFont="1" applyFill="1" applyBorder="1" applyAlignment="1">
      <alignment horizontal="center" vertical="center" wrapText="1"/>
    </xf>
    <xf numFmtId="10" fontId="19" fillId="0" borderId="8" xfId="1" applyNumberFormat="1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10" fontId="19" fillId="0" borderId="8" xfId="4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5" fillId="0" borderId="0" xfId="2" applyFont="1" applyAlignment="1">
      <alignment horizontal="center" wrapText="1"/>
    </xf>
    <xf numFmtId="0" fontId="25" fillId="18" borderId="13" xfId="2" applyFont="1" applyFill="1" applyBorder="1" applyAlignment="1">
      <alignment horizontal="center" vertical="center" wrapText="1"/>
    </xf>
    <xf numFmtId="0" fontId="25" fillId="18" borderId="14" xfId="2" applyFont="1" applyFill="1" applyBorder="1" applyAlignment="1">
      <alignment horizontal="center" vertical="center" wrapText="1"/>
    </xf>
    <xf numFmtId="0" fontId="25" fillId="18" borderId="15" xfId="2" applyFont="1" applyFill="1" applyBorder="1" applyAlignment="1">
      <alignment horizontal="center" vertical="center" wrapText="1"/>
    </xf>
    <xf numFmtId="0" fontId="25" fillId="19" borderId="13" xfId="0" applyFont="1" applyFill="1" applyBorder="1" applyAlignment="1">
      <alignment horizontal="center" wrapText="1"/>
    </xf>
    <xf numFmtId="0" fontId="25" fillId="19" borderId="14" xfId="0" applyFont="1" applyFill="1" applyBorder="1" applyAlignment="1">
      <alignment horizontal="center" wrapText="1"/>
    </xf>
    <xf numFmtId="0" fontId="25" fillId="19" borderId="15" xfId="0" applyFont="1" applyFill="1" applyBorder="1" applyAlignment="1">
      <alignment horizontal="center" wrapText="1"/>
    </xf>
    <xf numFmtId="0" fontId="25" fillId="19" borderId="19" xfId="0" applyFont="1" applyFill="1" applyBorder="1" applyAlignment="1">
      <alignment horizontal="center" wrapText="1"/>
    </xf>
    <xf numFmtId="0" fontId="25" fillId="19" borderId="9" xfId="0" applyFont="1" applyFill="1" applyBorder="1" applyAlignment="1">
      <alignment horizontal="center" wrapText="1"/>
    </xf>
    <xf numFmtId="0" fontId="25" fillId="19" borderId="20" xfId="0" applyFont="1" applyFill="1" applyBorder="1" applyAlignment="1">
      <alignment horizontal="center" wrapText="1"/>
    </xf>
  </cellXfs>
  <cellStyles count="12">
    <cellStyle name="Bueno" xfId="4" builtinId="26"/>
    <cellStyle name="Excel Built-in Normal 2 2" xfId="11" xr:uid="{00000000-0005-0000-0000-000001000000}"/>
    <cellStyle name="Hipervínculo" xfId="5" builtinId="8"/>
    <cellStyle name="Normal" xfId="0" builtinId="0"/>
    <cellStyle name="Normal 2" xfId="6" xr:uid="{00000000-0005-0000-0000-000004000000}"/>
    <cellStyle name="Normal 2 2" xfId="2" xr:uid="{00000000-0005-0000-0000-000005000000}"/>
    <cellStyle name="Normal 3" xfId="10" xr:uid="{00000000-0005-0000-0000-000006000000}"/>
    <cellStyle name="Normal_Fisioteràpia" xfId="8" xr:uid="{00000000-0005-0000-0000-000007000000}"/>
    <cellStyle name="Normal_Hoja1" xfId="7" xr:uid="{00000000-0005-0000-0000-000008000000}"/>
    <cellStyle name="Normal_Hoja1_1" xfId="9" xr:uid="{00000000-0005-0000-0000-000009000000}"/>
    <cellStyle name="Porcentaje" xfId="1" builtinId="5"/>
    <cellStyle name="Porcentaje 2" xfId="3" xr:uid="{00000000-0005-0000-0000-00000B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CCFF"/>
      <color rgb="FFFF00FF"/>
      <color rgb="FF943634"/>
      <color rgb="FFC86664"/>
      <color rgb="FFD78F8D"/>
      <color rgb="FF990000"/>
      <color rgb="FFA50021"/>
      <color rgb="FF990033"/>
      <color rgb="FF9999FF"/>
      <color rgb="FF207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3</xdr:col>
      <xdr:colOff>574040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745740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431165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74574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3</xdr:col>
      <xdr:colOff>485775</xdr:colOff>
      <xdr:row>4</xdr:row>
      <xdr:rowOff>93348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28575"/>
          <a:ext cx="2695575" cy="84582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3</xdr:col>
      <xdr:colOff>459051</xdr:colOff>
      <xdr:row>4</xdr:row>
      <xdr:rowOff>121923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76200"/>
          <a:ext cx="2687901" cy="80772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3</xdr:col>
      <xdr:colOff>295275</xdr:colOff>
      <xdr:row>4</xdr:row>
      <xdr:rowOff>76200</xdr:rowOff>
    </xdr:to>
    <xdr:sp macro="" textlink="">
      <xdr:nvSpPr>
        <xdr:cNvPr id="5121" name="Object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0</xdr:row>
      <xdr:rowOff>57150</xdr:rowOff>
    </xdr:from>
    <xdr:to>
      <xdr:col>3</xdr:col>
      <xdr:colOff>295275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24669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3</xdr:col>
      <xdr:colOff>266700</xdr:colOff>
      <xdr:row>4</xdr:row>
      <xdr:rowOff>104775</xdr:rowOff>
    </xdr:to>
    <xdr:sp macro="" textlink="">
      <xdr:nvSpPr>
        <xdr:cNvPr id="6145" name="Object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0</xdr:row>
      <xdr:rowOff>95250</xdr:rowOff>
    </xdr:from>
    <xdr:to>
      <xdr:col>3</xdr:col>
      <xdr:colOff>266700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2438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3</xdr:col>
      <xdr:colOff>190500</xdr:colOff>
      <xdr:row>4</xdr:row>
      <xdr:rowOff>9525</xdr:rowOff>
    </xdr:to>
    <xdr:sp macro="" textlink="">
      <xdr:nvSpPr>
        <xdr:cNvPr id="7169" name="Object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76200</xdr:rowOff>
    </xdr:from>
    <xdr:to>
      <xdr:col>3</xdr:col>
      <xdr:colOff>190500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4288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133349</xdr:colOff>
      <xdr:row>754</xdr:row>
      <xdr:rowOff>104775</xdr:rowOff>
    </xdr:from>
    <xdr:to>
      <xdr:col>13</xdr:col>
      <xdr:colOff>619124</xdr:colOff>
      <xdr:row>772</xdr:row>
      <xdr:rowOff>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4" y="206778225"/>
          <a:ext cx="9839325" cy="332468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779</xdr:row>
      <xdr:rowOff>0</xdr:rowOff>
    </xdr:from>
    <xdr:to>
      <xdr:col>13</xdr:col>
      <xdr:colOff>600075</xdr:colOff>
      <xdr:row>794</xdr:row>
      <xdr:rowOff>162346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875" y="211569300"/>
          <a:ext cx="9820275" cy="30198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2</xdr:col>
      <xdr:colOff>901700</xdr:colOff>
      <xdr:row>5</xdr:row>
      <xdr:rowOff>23112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23825"/>
          <a:ext cx="2286000" cy="70891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2</xdr:col>
      <xdr:colOff>1263650</xdr:colOff>
      <xdr:row>4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23825"/>
          <a:ext cx="2139950" cy="647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ules%20CAFE%20i%20FISIO%2022-23_treballades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"/>
      <sheetName val="Estàndard 1"/>
      <sheetName val="Estàndard 2"/>
      <sheetName val="Estàndard 3"/>
      <sheetName val="Estàndard 4"/>
      <sheetName val="Estàndard 5"/>
      <sheetName val="Estàndard 6"/>
      <sheetName val="Taula 42.1 FISIO"/>
      <sheetName val="Taula 42.2 CAFE"/>
      <sheetName val="BBDD nou accés"/>
      <sheetName val="BD TOTS 2"/>
      <sheetName val="Hoja1"/>
      <sheetName val="BBDD tots"/>
      <sheetName val="BD assignatur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CAFiE</v>
          </cell>
          <cell r="B1" t="str">
            <v>ects</v>
          </cell>
          <cell r="C1" t="str">
            <v>FISIO</v>
          </cell>
          <cell r="D1" t="str">
            <v>ects</v>
          </cell>
        </row>
        <row r="2">
          <cell r="A2">
            <v>37214001</v>
          </cell>
          <cell r="B2">
            <v>71</v>
          </cell>
          <cell r="C2">
            <v>37204001</v>
          </cell>
          <cell r="D2">
            <v>109</v>
          </cell>
        </row>
        <row r="3">
          <cell r="A3">
            <v>37214002</v>
          </cell>
          <cell r="B3">
            <v>93</v>
          </cell>
          <cell r="C3">
            <v>37204002</v>
          </cell>
          <cell r="D3">
            <v>62</v>
          </cell>
        </row>
        <row r="4">
          <cell r="A4">
            <v>37214003</v>
          </cell>
          <cell r="B4">
            <v>61</v>
          </cell>
          <cell r="C4">
            <v>37204003</v>
          </cell>
          <cell r="D4">
            <v>110</v>
          </cell>
        </row>
        <row r="5">
          <cell r="A5">
            <v>37214004</v>
          </cell>
          <cell r="B5">
            <v>71</v>
          </cell>
          <cell r="C5">
            <v>37204004</v>
          </cell>
          <cell r="D5">
            <v>5</v>
          </cell>
        </row>
        <row r="6">
          <cell r="A6">
            <v>37214005</v>
          </cell>
          <cell r="B6">
            <v>65</v>
          </cell>
          <cell r="C6">
            <v>37204005</v>
          </cell>
          <cell r="D6">
            <v>3</v>
          </cell>
        </row>
        <row r="7">
          <cell r="A7">
            <v>37214006</v>
          </cell>
          <cell r="B7">
            <v>65</v>
          </cell>
          <cell r="C7">
            <v>37204006</v>
          </cell>
          <cell r="D7">
            <v>70</v>
          </cell>
        </row>
        <row r="8">
          <cell r="A8">
            <v>37214007</v>
          </cell>
          <cell r="B8">
            <v>62</v>
          </cell>
          <cell r="C8">
            <v>37204007</v>
          </cell>
          <cell r="D8">
            <v>79</v>
          </cell>
        </row>
        <row r="9">
          <cell r="A9">
            <v>37214008</v>
          </cell>
          <cell r="B9">
            <v>54</v>
          </cell>
          <cell r="C9">
            <v>37204008</v>
          </cell>
          <cell r="D9">
            <v>77</v>
          </cell>
        </row>
        <row r="10">
          <cell r="A10">
            <v>37214009</v>
          </cell>
          <cell r="B10">
            <v>50</v>
          </cell>
          <cell r="C10">
            <v>37204009</v>
          </cell>
          <cell r="D10">
            <v>59</v>
          </cell>
        </row>
        <row r="11">
          <cell r="A11">
            <v>37214010</v>
          </cell>
          <cell r="B11">
            <v>72</v>
          </cell>
          <cell r="C11">
            <v>37204010</v>
          </cell>
          <cell r="D11">
            <v>104</v>
          </cell>
        </row>
        <row r="12">
          <cell r="A12">
            <v>37214101</v>
          </cell>
          <cell r="B12">
            <v>68</v>
          </cell>
          <cell r="C12">
            <v>37204011</v>
          </cell>
          <cell r="D12">
            <v>77</v>
          </cell>
        </row>
        <row r="13">
          <cell r="A13">
            <v>37214102</v>
          </cell>
          <cell r="B13">
            <v>60</v>
          </cell>
          <cell r="C13">
            <v>37204012</v>
          </cell>
          <cell r="D13">
            <v>84</v>
          </cell>
        </row>
        <row r="14">
          <cell r="A14">
            <v>37214103</v>
          </cell>
          <cell r="B14">
            <v>22</v>
          </cell>
          <cell r="C14">
            <v>37204013</v>
          </cell>
          <cell r="D14">
            <v>76</v>
          </cell>
        </row>
        <row r="15">
          <cell r="A15">
            <v>37214104</v>
          </cell>
          <cell r="B15">
            <v>47</v>
          </cell>
          <cell r="C15">
            <v>37204101</v>
          </cell>
          <cell r="D15">
            <v>68</v>
          </cell>
        </row>
        <row r="16">
          <cell r="A16">
            <v>37214105</v>
          </cell>
          <cell r="B16">
            <v>39</v>
          </cell>
          <cell r="C16">
            <v>37204102</v>
          </cell>
          <cell r="D16">
            <v>92</v>
          </cell>
        </row>
        <row r="17">
          <cell r="A17">
            <v>37214106</v>
          </cell>
          <cell r="B17">
            <v>68</v>
          </cell>
          <cell r="C17">
            <v>37204103</v>
          </cell>
          <cell r="D17">
            <v>75</v>
          </cell>
        </row>
        <row r="18">
          <cell r="A18">
            <v>37214107</v>
          </cell>
          <cell r="B18">
            <v>54</v>
          </cell>
          <cell r="C18">
            <v>37204104</v>
          </cell>
          <cell r="D18">
            <v>49</v>
          </cell>
        </row>
        <row r="19">
          <cell r="A19">
            <v>37214108</v>
          </cell>
          <cell r="B19">
            <v>32</v>
          </cell>
          <cell r="C19">
            <v>37204105</v>
          </cell>
          <cell r="D19">
            <v>49</v>
          </cell>
        </row>
        <row r="20">
          <cell r="A20">
            <v>37214109</v>
          </cell>
          <cell r="B20">
            <v>72</v>
          </cell>
          <cell r="C20">
            <v>37204106</v>
          </cell>
          <cell r="D20">
            <v>52</v>
          </cell>
        </row>
        <row r="21">
          <cell r="A21">
            <v>37214110</v>
          </cell>
          <cell r="B21">
            <v>18</v>
          </cell>
          <cell r="C21">
            <v>37204107</v>
          </cell>
          <cell r="D21">
            <v>44</v>
          </cell>
        </row>
        <row r="22">
          <cell r="A22">
            <v>37214111</v>
          </cell>
          <cell r="B22">
            <v>24</v>
          </cell>
          <cell r="C22">
            <v>37204108</v>
          </cell>
          <cell r="D22">
            <v>65</v>
          </cell>
        </row>
        <row r="23">
          <cell r="A23">
            <v>37214112</v>
          </cell>
          <cell r="B23">
            <v>25</v>
          </cell>
          <cell r="C23">
            <v>37204109</v>
          </cell>
          <cell r="D23">
            <v>47</v>
          </cell>
        </row>
        <row r="24">
          <cell r="A24">
            <v>37214113</v>
          </cell>
          <cell r="B24">
            <v>24</v>
          </cell>
          <cell r="C24">
            <v>37204110</v>
          </cell>
          <cell r="D24">
            <v>51</v>
          </cell>
        </row>
        <row r="25">
          <cell r="A25">
            <v>37214114</v>
          </cell>
          <cell r="B25">
            <v>23</v>
          </cell>
          <cell r="C25">
            <v>37204111</v>
          </cell>
          <cell r="D25">
            <v>53</v>
          </cell>
          <cell r="X25" t="str">
            <v>ESTUDIS/CODIS</v>
          </cell>
          <cell r="Y25">
            <v>37214001</v>
          </cell>
          <cell r="Z25">
            <v>37214002</v>
          </cell>
          <cell r="AA25">
            <v>37214003</v>
          </cell>
          <cell r="AB25">
            <v>37214004</v>
          </cell>
          <cell r="AC25">
            <v>37214005</v>
          </cell>
          <cell r="AD25">
            <v>37214006</v>
          </cell>
          <cell r="AE25">
            <v>37214007</v>
          </cell>
          <cell r="AF25">
            <v>37214008</v>
          </cell>
          <cell r="AG25">
            <v>37214009</v>
          </cell>
          <cell r="AH25">
            <v>37214010</v>
          </cell>
          <cell r="AI25">
            <v>37214101</v>
          </cell>
          <cell r="AJ25">
            <v>37214102</v>
          </cell>
          <cell r="AK25">
            <v>37214103</v>
          </cell>
          <cell r="AL25">
            <v>37214104</v>
          </cell>
          <cell r="AM25">
            <v>37214105</v>
          </cell>
          <cell r="AN25">
            <v>37214106</v>
          </cell>
          <cell r="AO25">
            <v>37214107</v>
          </cell>
          <cell r="AP25">
            <v>37214108</v>
          </cell>
          <cell r="AQ25">
            <v>37214109</v>
          </cell>
          <cell r="AR25">
            <v>37214110</v>
          </cell>
          <cell r="AS25">
            <v>37214111</v>
          </cell>
          <cell r="AT25">
            <v>37214112</v>
          </cell>
          <cell r="AU25">
            <v>37214113</v>
          </cell>
          <cell r="AV25">
            <v>37214114</v>
          </cell>
          <cell r="AW25">
            <v>37214115</v>
          </cell>
          <cell r="AX25">
            <v>37214116</v>
          </cell>
          <cell r="AY25">
            <v>37214117</v>
          </cell>
          <cell r="AZ25">
            <v>37214118</v>
          </cell>
          <cell r="BA25">
            <v>37214119</v>
          </cell>
          <cell r="BB25">
            <v>37214120</v>
          </cell>
          <cell r="BC25">
            <v>37214121</v>
          </cell>
          <cell r="BD25">
            <v>37214201</v>
          </cell>
          <cell r="BE25">
            <v>37214202</v>
          </cell>
          <cell r="BF25">
            <v>37214203</v>
          </cell>
          <cell r="BG25">
            <v>37214301</v>
          </cell>
          <cell r="BH25">
            <v>37214401</v>
          </cell>
          <cell r="BI25">
            <v>37214204</v>
          </cell>
          <cell r="BJ25">
            <v>37214206</v>
          </cell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DX25">
            <v>37214111</v>
          </cell>
          <cell r="DY25">
            <v>24</v>
          </cell>
          <cell r="EA25">
            <v>37214111</v>
          </cell>
          <cell r="EB25" t="str">
            <v>Teoria de l'entrenament III</v>
          </cell>
          <cell r="ED25" t="str">
            <v>Obligatòria</v>
          </cell>
          <cell r="EE25" t="str">
            <v>Semestral</v>
          </cell>
          <cell r="EF25">
            <v>24</v>
          </cell>
          <cell r="EG25">
            <v>37214111</v>
          </cell>
          <cell r="EH25">
            <v>24</v>
          </cell>
          <cell r="EJ25">
            <v>0</v>
          </cell>
        </row>
        <row r="26">
          <cell r="A26">
            <v>37214115</v>
          </cell>
          <cell r="B26">
            <v>19</v>
          </cell>
          <cell r="C26">
            <v>37204112</v>
          </cell>
          <cell r="D26">
            <v>62</v>
          </cell>
          <cell r="X26" t="str">
            <v>CAFiE</v>
          </cell>
          <cell r="Y26">
            <v>74</v>
          </cell>
          <cell r="Z26">
            <v>95</v>
          </cell>
          <cell r="AA26">
            <v>62</v>
          </cell>
          <cell r="AB26">
            <v>72</v>
          </cell>
          <cell r="AC26">
            <v>70</v>
          </cell>
          <cell r="AD26">
            <v>70</v>
          </cell>
          <cell r="AE26">
            <v>63</v>
          </cell>
          <cell r="AF26">
            <v>55</v>
          </cell>
          <cell r="AG26">
            <v>51</v>
          </cell>
          <cell r="AH26">
            <v>75</v>
          </cell>
          <cell r="AI26">
            <v>73</v>
          </cell>
          <cell r="AJ26">
            <v>65</v>
          </cell>
          <cell r="AK26">
            <v>24</v>
          </cell>
          <cell r="AL26">
            <v>70</v>
          </cell>
          <cell r="AM26">
            <v>60</v>
          </cell>
          <cell r="AN26">
            <v>71</v>
          </cell>
          <cell r="AO26">
            <v>55</v>
          </cell>
          <cell r="AP26">
            <v>32</v>
          </cell>
          <cell r="AQ26">
            <v>73</v>
          </cell>
          <cell r="AR26">
            <v>19</v>
          </cell>
          <cell r="AS26">
            <v>25</v>
          </cell>
          <cell r="AT26">
            <v>26</v>
          </cell>
          <cell r="AU26">
            <v>26</v>
          </cell>
          <cell r="AV26">
            <v>24</v>
          </cell>
          <cell r="AW26">
            <v>20</v>
          </cell>
          <cell r="AX26">
            <v>50</v>
          </cell>
          <cell r="AY26">
            <v>22</v>
          </cell>
          <cell r="AZ26">
            <v>25</v>
          </cell>
          <cell r="BA26">
            <v>21</v>
          </cell>
          <cell r="BB26">
            <v>20</v>
          </cell>
          <cell r="BC26">
            <v>21</v>
          </cell>
          <cell r="BD26">
            <v>8</v>
          </cell>
          <cell r="BE26">
            <v>1</v>
          </cell>
          <cell r="BF26">
            <v>12</v>
          </cell>
          <cell r="BG26">
            <v>24</v>
          </cell>
          <cell r="BH26">
            <v>16</v>
          </cell>
          <cell r="BI26">
            <v>14</v>
          </cell>
          <cell r="BJ26">
            <v>8</v>
          </cell>
          <cell r="DX26">
            <v>37214112</v>
          </cell>
          <cell r="DY26">
            <v>25</v>
          </cell>
          <cell r="EA26">
            <v>37214112</v>
          </cell>
          <cell r="EB26" t="str">
            <v>Prescripció de l'exercici física per a la salut</v>
          </cell>
          <cell r="ED26" t="str">
            <v>Obligatòria</v>
          </cell>
          <cell r="EE26" t="str">
            <v>Semestral</v>
          </cell>
          <cell r="EF26">
            <v>25</v>
          </cell>
          <cell r="EG26">
            <v>37214112</v>
          </cell>
          <cell r="EH26">
            <v>25</v>
          </cell>
          <cell r="EJ26">
            <v>0</v>
          </cell>
        </row>
        <row r="27">
          <cell r="A27">
            <v>37214116</v>
          </cell>
          <cell r="B27">
            <v>48</v>
          </cell>
          <cell r="C27">
            <v>37204114</v>
          </cell>
          <cell r="D27">
            <v>47</v>
          </cell>
          <cell r="X27" t="str">
            <v>AP</v>
          </cell>
          <cell r="Y27">
            <v>21</v>
          </cell>
          <cell r="Z27">
            <v>46</v>
          </cell>
          <cell r="AA27">
            <v>17</v>
          </cell>
          <cell r="AB27">
            <v>31</v>
          </cell>
          <cell r="AC27">
            <v>9</v>
          </cell>
          <cell r="AD27">
            <v>22</v>
          </cell>
          <cell r="AE27">
            <v>32</v>
          </cell>
          <cell r="AF27">
            <v>24</v>
          </cell>
          <cell r="AG27">
            <v>35</v>
          </cell>
          <cell r="AH27">
            <v>48</v>
          </cell>
          <cell r="AI27">
            <v>15</v>
          </cell>
          <cell r="AJ27">
            <v>20</v>
          </cell>
          <cell r="AK27">
            <v>5</v>
          </cell>
          <cell r="AL27">
            <v>26</v>
          </cell>
          <cell r="AM27">
            <v>11</v>
          </cell>
          <cell r="AN27">
            <v>33</v>
          </cell>
          <cell r="AO27">
            <v>38</v>
          </cell>
          <cell r="AP27">
            <v>9</v>
          </cell>
          <cell r="AQ27">
            <v>27</v>
          </cell>
          <cell r="AR27">
            <v>5</v>
          </cell>
          <cell r="AS27">
            <v>17</v>
          </cell>
          <cell r="AT27">
            <v>9</v>
          </cell>
          <cell r="AU27">
            <v>8</v>
          </cell>
          <cell r="AV27">
            <v>12</v>
          </cell>
          <cell r="AW27">
            <v>2</v>
          </cell>
          <cell r="AX27">
            <v>22</v>
          </cell>
          <cell r="AY27">
            <v>11</v>
          </cell>
          <cell r="AZ27">
            <v>5</v>
          </cell>
          <cell r="BA27">
            <v>5</v>
          </cell>
          <cell r="BB27">
            <v>5</v>
          </cell>
          <cell r="BC27">
            <v>11</v>
          </cell>
          <cell r="BD27">
            <v>2</v>
          </cell>
          <cell r="BG27">
            <v>9</v>
          </cell>
          <cell r="BH27">
            <v>2</v>
          </cell>
          <cell r="DX27">
            <v>37214113</v>
          </cell>
          <cell r="DY27">
            <v>24</v>
          </cell>
          <cell r="EA27">
            <v>37214113</v>
          </cell>
          <cell r="EB27" t="str">
            <v>Nutrició aplicada a l'activitat física i l'esport</v>
          </cell>
          <cell r="ED27" t="str">
            <v>Obligatòria</v>
          </cell>
          <cell r="EE27" t="str">
            <v>Semestral</v>
          </cell>
          <cell r="EF27">
            <v>24</v>
          </cell>
          <cell r="EG27">
            <v>37214113</v>
          </cell>
          <cell r="EH27">
            <v>24</v>
          </cell>
          <cell r="EJ27">
            <v>0</v>
          </cell>
        </row>
        <row r="28">
          <cell r="A28">
            <v>37214117</v>
          </cell>
          <cell r="B28">
            <v>21</v>
          </cell>
          <cell r="C28">
            <v>37204115</v>
          </cell>
          <cell r="D28">
            <v>58</v>
          </cell>
          <cell r="X28" t="str">
            <v>EX</v>
          </cell>
          <cell r="AF28">
            <v>1</v>
          </cell>
          <cell r="AJ28">
            <v>10</v>
          </cell>
          <cell r="AK28">
            <v>2</v>
          </cell>
          <cell r="AM28">
            <v>9</v>
          </cell>
          <cell r="AV28">
            <v>1</v>
          </cell>
          <cell r="AX28">
            <v>2</v>
          </cell>
          <cell r="AY28">
            <v>1</v>
          </cell>
          <cell r="BF28">
            <v>3</v>
          </cell>
          <cell r="BG28">
            <v>2</v>
          </cell>
          <cell r="BH28">
            <v>5</v>
          </cell>
          <cell r="BJ28">
            <v>5</v>
          </cell>
          <cell r="DX28">
            <v>37214114</v>
          </cell>
          <cell r="DY28">
            <v>23</v>
          </cell>
          <cell r="EA28">
            <v>37214114</v>
          </cell>
          <cell r="EB28" t="str">
            <v>Primers auxilis</v>
          </cell>
          <cell r="ED28" t="str">
            <v>Obligatòria</v>
          </cell>
          <cell r="EE28" t="str">
            <v>Semestral</v>
          </cell>
          <cell r="EF28">
            <v>23</v>
          </cell>
          <cell r="EG28">
            <v>37214114</v>
          </cell>
          <cell r="EH28">
            <v>23</v>
          </cell>
          <cell r="EJ28">
            <v>0</v>
          </cell>
        </row>
        <row r="29">
          <cell r="A29">
            <v>37214118</v>
          </cell>
          <cell r="B29">
            <v>24</v>
          </cell>
          <cell r="C29">
            <v>37204116</v>
          </cell>
          <cell r="D29">
            <v>38</v>
          </cell>
          <cell r="X29" t="str">
            <v>MH</v>
          </cell>
          <cell r="Z29">
            <v>1</v>
          </cell>
          <cell r="AK29">
            <v>1</v>
          </cell>
          <cell r="AU29">
            <v>1</v>
          </cell>
          <cell r="BC29">
            <v>1</v>
          </cell>
          <cell r="BG29">
            <v>1</v>
          </cell>
          <cell r="BH29">
            <v>1</v>
          </cell>
          <cell r="BJ29">
            <v>1</v>
          </cell>
          <cell r="DX29">
            <v>37214115</v>
          </cell>
          <cell r="DY29">
            <v>19</v>
          </cell>
          <cell r="EA29">
            <v>37214115</v>
          </cell>
          <cell r="EB29" t="str">
            <v>Mitjans i mètodes de recuperació</v>
          </cell>
          <cell r="ED29" t="str">
            <v>Obligatòria</v>
          </cell>
          <cell r="EE29" t="str">
            <v>Semestral</v>
          </cell>
          <cell r="EF29">
            <v>19</v>
          </cell>
          <cell r="EG29">
            <v>37214115</v>
          </cell>
          <cell r="EH29">
            <v>19</v>
          </cell>
          <cell r="EJ29">
            <v>0</v>
          </cell>
        </row>
        <row r="30">
          <cell r="A30">
            <v>37214119</v>
          </cell>
          <cell r="B30">
            <v>20</v>
          </cell>
          <cell r="C30">
            <v>37204117</v>
          </cell>
          <cell r="D30">
            <v>45</v>
          </cell>
          <cell r="X30" t="str">
            <v>NP</v>
          </cell>
          <cell r="Y30">
            <v>1</v>
          </cell>
          <cell r="Z30">
            <v>5</v>
          </cell>
          <cell r="AA30">
            <v>9</v>
          </cell>
          <cell r="AB30">
            <v>5</v>
          </cell>
          <cell r="AD30">
            <v>9</v>
          </cell>
          <cell r="AE30">
            <v>1</v>
          </cell>
          <cell r="AH30">
            <v>1</v>
          </cell>
          <cell r="AJ30">
            <v>6</v>
          </cell>
          <cell r="AL30">
            <v>7</v>
          </cell>
          <cell r="AN30">
            <v>5</v>
          </cell>
          <cell r="AO30">
            <v>1</v>
          </cell>
          <cell r="AP30">
            <v>1</v>
          </cell>
          <cell r="AS30">
            <v>1</v>
          </cell>
          <cell r="AT30">
            <v>1</v>
          </cell>
          <cell r="AU30">
            <v>1</v>
          </cell>
          <cell r="AV30">
            <v>2</v>
          </cell>
          <cell r="AX30">
            <v>2</v>
          </cell>
          <cell r="AZ30">
            <v>1</v>
          </cell>
          <cell r="BB30">
            <v>1</v>
          </cell>
          <cell r="BG30">
            <v>6</v>
          </cell>
          <cell r="DX30">
            <v>37214116</v>
          </cell>
          <cell r="DY30">
            <v>48</v>
          </cell>
          <cell r="EA30">
            <v>37214116</v>
          </cell>
          <cell r="EB30" t="str">
            <v xml:space="preserve">Legislació esportiva i direcció de sistemes i organitzacions </v>
          </cell>
          <cell r="ED30" t="str">
            <v>Obligatòria</v>
          </cell>
          <cell r="EE30" t="str">
            <v>Semestral</v>
          </cell>
          <cell r="EF30">
            <v>48</v>
          </cell>
          <cell r="EG30">
            <v>37214116</v>
          </cell>
          <cell r="EH30">
            <v>48</v>
          </cell>
          <cell r="EJ30">
            <v>0</v>
          </cell>
        </row>
        <row r="31">
          <cell r="A31">
            <v>37214120</v>
          </cell>
          <cell r="B31">
            <v>19</v>
          </cell>
          <cell r="C31">
            <v>37204118</v>
          </cell>
          <cell r="D31">
            <v>37</v>
          </cell>
          <cell r="X31" t="str">
            <v>NT</v>
          </cell>
          <cell r="Y31">
            <v>20</v>
          </cell>
          <cell r="Z31">
            <v>8</v>
          </cell>
          <cell r="AA31">
            <v>2</v>
          </cell>
          <cell r="AB31">
            <v>28</v>
          </cell>
          <cell r="AC31">
            <v>54</v>
          </cell>
          <cell r="AD31">
            <v>29</v>
          </cell>
          <cell r="AE31">
            <v>12</v>
          </cell>
          <cell r="AF31">
            <v>26</v>
          </cell>
          <cell r="AG31">
            <v>9</v>
          </cell>
          <cell r="AH31">
            <v>15</v>
          </cell>
          <cell r="AI31">
            <v>44</v>
          </cell>
          <cell r="AJ31">
            <v>20</v>
          </cell>
          <cell r="AK31">
            <v>14</v>
          </cell>
          <cell r="AL31">
            <v>8</v>
          </cell>
          <cell r="AM31">
            <v>19</v>
          </cell>
          <cell r="AN31">
            <v>17</v>
          </cell>
          <cell r="AO31">
            <v>14</v>
          </cell>
          <cell r="AP31">
            <v>21</v>
          </cell>
          <cell r="AQ31">
            <v>8</v>
          </cell>
          <cell r="AR31">
            <v>13</v>
          </cell>
          <cell r="AS31">
            <v>3</v>
          </cell>
          <cell r="AT31">
            <v>14</v>
          </cell>
          <cell r="AU31">
            <v>13</v>
          </cell>
          <cell r="AV31">
            <v>8</v>
          </cell>
          <cell r="AW31">
            <v>17</v>
          </cell>
          <cell r="AX31">
            <v>20</v>
          </cell>
          <cell r="AY31">
            <v>9</v>
          </cell>
          <cell r="AZ31">
            <v>18</v>
          </cell>
          <cell r="BA31">
            <v>15</v>
          </cell>
          <cell r="BB31">
            <v>13</v>
          </cell>
          <cell r="BC31">
            <v>8</v>
          </cell>
          <cell r="BD31">
            <v>5</v>
          </cell>
          <cell r="BF31">
            <v>9</v>
          </cell>
          <cell r="BG31">
            <v>6</v>
          </cell>
          <cell r="BH31">
            <v>5</v>
          </cell>
          <cell r="BI31">
            <v>13</v>
          </cell>
          <cell r="BJ31">
            <v>2</v>
          </cell>
          <cell r="DX31">
            <v>37214117</v>
          </cell>
          <cell r="DY31">
            <v>21</v>
          </cell>
          <cell r="EA31">
            <v>37214117</v>
          </cell>
          <cell r="EB31" t="str">
            <v>Bases econòmic-financeres i de contractació</v>
          </cell>
          <cell r="ED31" t="str">
            <v>Obligatòria</v>
          </cell>
          <cell r="EE31" t="str">
            <v>Semestral</v>
          </cell>
          <cell r="EF31">
            <v>21</v>
          </cell>
          <cell r="EG31">
            <v>37214117</v>
          </cell>
          <cell r="EH31">
            <v>21</v>
          </cell>
          <cell r="EJ31">
            <v>0</v>
          </cell>
        </row>
        <row r="32">
          <cell r="A32">
            <v>37214121</v>
          </cell>
          <cell r="B32">
            <v>20</v>
          </cell>
          <cell r="C32">
            <v>37204119</v>
          </cell>
          <cell r="D32">
            <v>64</v>
          </cell>
          <cell r="X32" t="str">
            <v>RA</v>
          </cell>
          <cell r="Y32">
            <v>3</v>
          </cell>
          <cell r="Z32">
            <v>2</v>
          </cell>
          <cell r="AA32">
            <v>1</v>
          </cell>
          <cell r="AB32">
            <v>1</v>
          </cell>
          <cell r="AC32">
            <v>5</v>
          </cell>
          <cell r="AD32">
            <v>5</v>
          </cell>
          <cell r="AE32">
            <v>1</v>
          </cell>
          <cell r="AF32">
            <v>1</v>
          </cell>
          <cell r="AG32">
            <v>1</v>
          </cell>
          <cell r="AH32">
            <v>3</v>
          </cell>
          <cell r="AI32">
            <v>5</v>
          </cell>
          <cell r="AJ32">
            <v>5</v>
          </cell>
          <cell r="AK32">
            <v>2</v>
          </cell>
          <cell r="AL32">
            <v>23</v>
          </cell>
          <cell r="AM32">
            <v>21</v>
          </cell>
          <cell r="AN32">
            <v>3</v>
          </cell>
          <cell r="AO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2</v>
          </cell>
          <cell r="AV32">
            <v>1</v>
          </cell>
          <cell r="AW32">
            <v>1</v>
          </cell>
          <cell r="AX32">
            <v>2</v>
          </cell>
          <cell r="AY32">
            <v>1</v>
          </cell>
          <cell r="AZ32">
            <v>1</v>
          </cell>
          <cell r="BA32">
            <v>1</v>
          </cell>
          <cell r="BB32">
            <v>1</v>
          </cell>
          <cell r="BC32">
            <v>1</v>
          </cell>
          <cell r="BE32">
            <v>1</v>
          </cell>
          <cell r="BH32">
            <v>3</v>
          </cell>
          <cell r="BI32">
            <v>1</v>
          </cell>
          <cell r="DX32">
            <v>37214118</v>
          </cell>
          <cell r="DY32">
            <v>24</v>
          </cell>
          <cell r="EA32">
            <v>37214118</v>
          </cell>
          <cell r="EB32" t="str">
            <v>Instal·lacions esportives</v>
          </cell>
          <cell r="ED32" t="str">
            <v>Obligatòria</v>
          </cell>
          <cell r="EE32" t="str">
            <v>Semestral</v>
          </cell>
          <cell r="EF32">
            <v>24</v>
          </cell>
          <cell r="EG32">
            <v>37214118</v>
          </cell>
          <cell r="EH32">
            <v>24</v>
          </cell>
          <cell r="EJ32">
            <v>0</v>
          </cell>
        </row>
        <row r="33">
          <cell r="A33">
            <v>37214201</v>
          </cell>
          <cell r="B33">
            <v>8</v>
          </cell>
          <cell r="C33">
            <v>37204121</v>
          </cell>
          <cell r="D33">
            <v>50</v>
          </cell>
          <cell r="X33" t="str">
            <v>SU</v>
          </cell>
          <cell r="Y33">
            <v>29</v>
          </cell>
          <cell r="Z33">
            <v>33</v>
          </cell>
          <cell r="AA33">
            <v>33</v>
          </cell>
          <cell r="AB33">
            <v>7</v>
          </cell>
          <cell r="AC33">
            <v>2</v>
          </cell>
          <cell r="AD33">
            <v>5</v>
          </cell>
          <cell r="AE33">
            <v>17</v>
          </cell>
          <cell r="AF33">
            <v>3</v>
          </cell>
          <cell r="AG33">
            <v>6</v>
          </cell>
          <cell r="AH33">
            <v>8</v>
          </cell>
          <cell r="AI33">
            <v>9</v>
          </cell>
          <cell r="AJ33">
            <v>4</v>
          </cell>
          <cell r="AL33">
            <v>6</v>
          </cell>
          <cell r="AN33">
            <v>13</v>
          </cell>
          <cell r="AO33">
            <v>1</v>
          </cell>
          <cell r="AP33">
            <v>1</v>
          </cell>
          <cell r="AQ33">
            <v>37</v>
          </cell>
          <cell r="AS33">
            <v>3</v>
          </cell>
          <cell r="AT33">
            <v>1</v>
          </cell>
          <cell r="AU33">
            <v>1</v>
          </cell>
          <cell r="AX33">
            <v>2</v>
          </cell>
          <cell r="BD33">
            <v>1</v>
          </cell>
          <cell r="DX33">
            <v>37214119</v>
          </cell>
          <cell r="DY33">
            <v>20</v>
          </cell>
          <cell r="EA33">
            <v>37214119</v>
          </cell>
          <cell r="EB33" t="str">
            <v>Recreació, oci i turisme</v>
          </cell>
          <cell r="ED33" t="str">
            <v>Obligatòria</v>
          </cell>
          <cell r="EE33" t="str">
            <v>Semestral</v>
          </cell>
          <cell r="EF33">
            <v>20</v>
          </cell>
          <cell r="EG33">
            <v>37214119</v>
          </cell>
          <cell r="EH33">
            <v>20</v>
          </cell>
          <cell r="EJ33">
            <v>0</v>
          </cell>
        </row>
        <row r="34">
          <cell r="A34">
            <v>37214203</v>
          </cell>
          <cell r="B34">
            <v>12</v>
          </cell>
          <cell r="C34">
            <v>37204122</v>
          </cell>
          <cell r="D34">
            <v>73</v>
          </cell>
          <cell r="X34" t="str">
            <v>ESTUDIS/CODIS</v>
          </cell>
          <cell r="Y34">
            <v>37204001</v>
          </cell>
          <cell r="Z34">
            <v>37204002</v>
          </cell>
          <cell r="AA34">
            <v>37204003</v>
          </cell>
          <cell r="AB34">
            <v>37204004</v>
          </cell>
          <cell r="AC34">
            <v>37204005</v>
          </cell>
          <cell r="AD34">
            <v>37204006</v>
          </cell>
          <cell r="AE34">
            <v>37204007</v>
          </cell>
          <cell r="AF34">
            <v>37204008</v>
          </cell>
          <cell r="AG34">
            <v>37204009</v>
          </cell>
          <cell r="AH34">
            <v>37204010</v>
          </cell>
          <cell r="AI34">
            <v>37204011</v>
          </cell>
          <cell r="AJ34">
            <v>37204012</v>
          </cell>
          <cell r="AK34">
            <v>37204013</v>
          </cell>
          <cell r="AL34">
            <v>37204101</v>
          </cell>
          <cell r="AM34">
            <v>37204102</v>
          </cell>
          <cell r="AN34">
            <v>37204103</v>
          </cell>
          <cell r="AO34">
            <v>37204104</v>
          </cell>
          <cell r="AP34">
            <v>37204105</v>
          </cell>
          <cell r="AQ34">
            <v>37204106</v>
          </cell>
          <cell r="AR34">
            <v>37204107</v>
          </cell>
          <cell r="AS34">
            <v>37204108</v>
          </cell>
          <cell r="AT34">
            <v>37204110</v>
          </cell>
          <cell r="AU34">
            <v>37204111</v>
          </cell>
          <cell r="AV34">
            <v>37204112</v>
          </cell>
          <cell r="AW34">
            <v>37204114</v>
          </cell>
          <cell r="AX34">
            <v>37204115</v>
          </cell>
          <cell r="AY34">
            <v>37204116</v>
          </cell>
          <cell r="AZ34">
            <v>37204117</v>
          </cell>
          <cell r="BA34">
            <v>37204118</v>
          </cell>
          <cell r="BB34">
            <v>37204119</v>
          </cell>
          <cell r="BC34">
            <v>37204121</v>
          </cell>
          <cell r="BD34">
            <v>37204122</v>
          </cell>
          <cell r="BE34">
            <v>37204123</v>
          </cell>
          <cell r="BF34">
            <v>37204124</v>
          </cell>
          <cell r="BG34">
            <v>37204125</v>
          </cell>
          <cell r="BH34">
            <v>37204126</v>
          </cell>
          <cell r="BI34">
            <v>37204127</v>
          </cell>
          <cell r="BJ34">
            <v>37204128</v>
          </cell>
          <cell r="BK34">
            <v>37204129</v>
          </cell>
          <cell r="BL34">
            <v>37204130</v>
          </cell>
          <cell r="BM34">
            <v>37204131</v>
          </cell>
          <cell r="BN34">
            <v>37204132</v>
          </cell>
          <cell r="BO34">
            <v>37204133</v>
          </cell>
          <cell r="BP34">
            <v>37204135</v>
          </cell>
          <cell r="BQ34">
            <v>37204205</v>
          </cell>
          <cell r="BR34">
            <v>37204206</v>
          </cell>
          <cell r="BS34">
            <v>37204209</v>
          </cell>
          <cell r="BT34">
            <v>37204210</v>
          </cell>
          <cell r="BU34">
            <v>37204218</v>
          </cell>
          <cell r="BV34">
            <v>37204221</v>
          </cell>
          <cell r="BW34">
            <v>37204223</v>
          </cell>
          <cell r="BX34">
            <v>37204224</v>
          </cell>
          <cell r="BY34">
            <v>37204225</v>
          </cell>
          <cell r="BZ34">
            <v>37204226</v>
          </cell>
          <cell r="CA34">
            <v>37204301</v>
          </cell>
          <cell r="CB34">
            <v>37204226</v>
          </cell>
          <cell r="CC34">
            <v>37204301</v>
          </cell>
          <cell r="CD34">
            <v>37204137</v>
          </cell>
          <cell r="CE34">
            <v>37204109</v>
          </cell>
          <cell r="CF34">
            <v>37204136</v>
          </cell>
          <cell r="CG34"/>
          <cell r="DP34">
            <v>2795</v>
          </cell>
        </row>
        <row r="35">
          <cell r="A35">
            <v>37214204</v>
          </cell>
          <cell r="B35">
            <v>13</v>
          </cell>
          <cell r="C35">
            <v>37204123</v>
          </cell>
          <cell r="D35">
            <v>75</v>
          </cell>
          <cell r="X35" t="str">
            <v>FISIO</v>
          </cell>
          <cell r="Y35">
            <v>111</v>
          </cell>
          <cell r="Z35">
            <v>64</v>
          </cell>
          <cell r="AA35">
            <v>112</v>
          </cell>
          <cell r="AB35">
            <v>5</v>
          </cell>
          <cell r="AC35">
            <v>3</v>
          </cell>
          <cell r="AD35">
            <v>72</v>
          </cell>
          <cell r="AE35">
            <v>81</v>
          </cell>
          <cell r="AF35">
            <v>79</v>
          </cell>
          <cell r="AG35">
            <v>62</v>
          </cell>
          <cell r="AH35">
            <v>104</v>
          </cell>
          <cell r="AI35">
            <v>78</v>
          </cell>
          <cell r="AJ35">
            <v>84</v>
          </cell>
          <cell r="AK35">
            <v>76</v>
          </cell>
          <cell r="AL35">
            <v>68</v>
          </cell>
          <cell r="AM35">
            <v>92</v>
          </cell>
          <cell r="AN35">
            <v>77</v>
          </cell>
          <cell r="AO35">
            <v>49</v>
          </cell>
          <cell r="AP35">
            <v>49</v>
          </cell>
          <cell r="AQ35">
            <v>52</v>
          </cell>
          <cell r="AR35">
            <v>44</v>
          </cell>
          <cell r="AS35">
            <v>65</v>
          </cell>
          <cell r="AT35">
            <v>51</v>
          </cell>
          <cell r="AU35">
            <v>53</v>
          </cell>
          <cell r="AV35">
            <v>64</v>
          </cell>
          <cell r="AW35">
            <v>47</v>
          </cell>
          <cell r="AX35">
            <v>59</v>
          </cell>
          <cell r="AY35">
            <v>39</v>
          </cell>
          <cell r="AZ35">
            <v>46</v>
          </cell>
          <cell r="BA35">
            <v>37</v>
          </cell>
          <cell r="BB35">
            <v>64</v>
          </cell>
          <cell r="BC35">
            <v>50</v>
          </cell>
          <cell r="BD35">
            <v>73</v>
          </cell>
          <cell r="BE35">
            <v>75</v>
          </cell>
          <cell r="BF35">
            <v>62</v>
          </cell>
          <cell r="BG35">
            <v>70</v>
          </cell>
          <cell r="BH35">
            <v>43</v>
          </cell>
          <cell r="BI35">
            <v>35</v>
          </cell>
          <cell r="BJ35">
            <v>38</v>
          </cell>
          <cell r="BK35">
            <v>41</v>
          </cell>
          <cell r="BL35">
            <v>37</v>
          </cell>
          <cell r="BM35">
            <v>40</v>
          </cell>
          <cell r="BN35">
            <v>75</v>
          </cell>
          <cell r="BO35">
            <v>63</v>
          </cell>
          <cell r="BP35">
            <v>46</v>
          </cell>
          <cell r="BQ35">
            <v>31</v>
          </cell>
          <cell r="BR35">
            <v>15</v>
          </cell>
          <cell r="BS35">
            <v>28</v>
          </cell>
          <cell r="BT35">
            <v>12</v>
          </cell>
          <cell r="BU35">
            <v>15</v>
          </cell>
          <cell r="BV35">
            <v>18</v>
          </cell>
          <cell r="BW35">
            <v>30</v>
          </cell>
          <cell r="BX35">
            <v>18</v>
          </cell>
          <cell r="BY35">
            <v>31</v>
          </cell>
          <cell r="BZ35">
            <v>27</v>
          </cell>
          <cell r="CA35">
            <v>46</v>
          </cell>
          <cell r="CB35">
            <v>27</v>
          </cell>
          <cell r="CC35">
            <v>46</v>
          </cell>
          <cell r="CD35">
            <v>46</v>
          </cell>
          <cell r="CE35">
            <v>47</v>
          </cell>
          <cell r="CF35">
            <v>35</v>
          </cell>
          <cell r="CG35"/>
          <cell r="DP35">
            <v>1061</v>
          </cell>
        </row>
        <row r="36">
          <cell r="A36">
            <v>37214206</v>
          </cell>
          <cell r="B36">
            <v>8</v>
          </cell>
          <cell r="C36">
            <v>37204124</v>
          </cell>
          <cell r="D36">
            <v>61</v>
          </cell>
          <cell r="X36" t="str">
            <v>AP</v>
          </cell>
          <cell r="Y36">
            <v>45</v>
          </cell>
          <cell r="Z36">
            <v>25</v>
          </cell>
          <cell r="AA36">
            <v>52</v>
          </cell>
          <cell r="AB36">
            <v>2</v>
          </cell>
          <cell r="AC36">
            <v>2</v>
          </cell>
          <cell r="AD36">
            <v>34</v>
          </cell>
          <cell r="AE36">
            <v>43</v>
          </cell>
          <cell r="AF36">
            <v>57</v>
          </cell>
          <cell r="AG36">
            <v>47</v>
          </cell>
          <cell r="AH36">
            <v>41</v>
          </cell>
          <cell r="AI36">
            <v>37</v>
          </cell>
          <cell r="AJ36">
            <v>48</v>
          </cell>
          <cell r="AK36">
            <v>38</v>
          </cell>
          <cell r="AL36">
            <v>41</v>
          </cell>
          <cell r="AM36">
            <v>33</v>
          </cell>
          <cell r="AN36">
            <v>54</v>
          </cell>
          <cell r="AO36">
            <v>10</v>
          </cell>
          <cell r="AP36">
            <v>24</v>
          </cell>
          <cell r="AQ36">
            <v>18</v>
          </cell>
          <cell r="AR36">
            <v>24</v>
          </cell>
          <cell r="AS36">
            <v>18</v>
          </cell>
          <cell r="AT36">
            <v>38</v>
          </cell>
          <cell r="AU36">
            <v>29</v>
          </cell>
          <cell r="AV36">
            <v>39</v>
          </cell>
          <cell r="AW36">
            <v>16</v>
          </cell>
          <cell r="AX36">
            <v>20</v>
          </cell>
          <cell r="AZ36">
            <v>33</v>
          </cell>
          <cell r="BA36">
            <v>11</v>
          </cell>
          <cell r="BB36">
            <v>17</v>
          </cell>
          <cell r="BD36">
            <v>50</v>
          </cell>
          <cell r="BE36">
            <v>19</v>
          </cell>
          <cell r="BF36">
            <v>51</v>
          </cell>
          <cell r="BG36">
            <v>13</v>
          </cell>
          <cell r="BH36">
            <v>9</v>
          </cell>
          <cell r="BI36">
            <v>3</v>
          </cell>
          <cell r="BJ36">
            <v>4</v>
          </cell>
          <cell r="BK36">
            <v>8</v>
          </cell>
          <cell r="BL36">
            <v>3</v>
          </cell>
          <cell r="BM36">
            <v>6</v>
          </cell>
          <cell r="BN36">
            <v>38</v>
          </cell>
          <cell r="BO36">
            <v>21</v>
          </cell>
          <cell r="BP36">
            <v>12</v>
          </cell>
          <cell r="BQ36">
            <v>8</v>
          </cell>
          <cell r="BR36">
            <v>2</v>
          </cell>
          <cell r="BS36">
            <v>8</v>
          </cell>
          <cell r="BT36">
            <v>1</v>
          </cell>
          <cell r="BU36">
            <v>6</v>
          </cell>
          <cell r="BV36">
            <v>12</v>
          </cell>
          <cell r="BW36">
            <v>4</v>
          </cell>
          <cell r="BX36">
            <v>15</v>
          </cell>
          <cell r="BY36">
            <v>6</v>
          </cell>
          <cell r="BZ36">
            <v>11</v>
          </cell>
          <cell r="CA36">
            <v>17</v>
          </cell>
          <cell r="CB36">
            <v>11</v>
          </cell>
          <cell r="CC36">
            <v>17</v>
          </cell>
          <cell r="CD36">
            <v>8</v>
          </cell>
          <cell r="CE36">
            <v>17</v>
          </cell>
          <cell r="CF36">
            <v>15</v>
          </cell>
          <cell r="DP36">
            <v>229</v>
          </cell>
        </row>
        <row r="37">
          <cell r="A37">
            <v>37214301</v>
          </cell>
          <cell r="B37">
            <v>24</v>
          </cell>
          <cell r="C37">
            <v>37204125</v>
          </cell>
          <cell r="D37">
            <v>68</v>
          </cell>
          <cell r="X37" t="str">
            <v>EX</v>
          </cell>
          <cell r="AA37">
            <v>1</v>
          </cell>
          <cell r="AD37">
            <v>1</v>
          </cell>
          <cell r="AE37">
            <v>3</v>
          </cell>
          <cell r="AF37">
            <v>1</v>
          </cell>
          <cell r="AK37">
            <v>5</v>
          </cell>
          <cell r="AP37">
            <v>1</v>
          </cell>
          <cell r="AQ37">
            <v>6</v>
          </cell>
          <cell r="AS37">
            <v>10</v>
          </cell>
          <cell r="AT37">
            <v>1</v>
          </cell>
          <cell r="AU37">
            <v>3</v>
          </cell>
          <cell r="AW37">
            <v>11</v>
          </cell>
          <cell r="AX37">
            <v>13</v>
          </cell>
          <cell r="AY37">
            <v>14</v>
          </cell>
          <cell r="AZ37">
            <v>1</v>
          </cell>
          <cell r="BA37">
            <v>2</v>
          </cell>
          <cell r="BB37">
            <v>8</v>
          </cell>
          <cell r="BC37">
            <v>4</v>
          </cell>
          <cell r="BE37">
            <v>7</v>
          </cell>
          <cell r="BG37">
            <v>5</v>
          </cell>
          <cell r="BI37">
            <v>14</v>
          </cell>
          <cell r="BJ37">
            <v>12</v>
          </cell>
          <cell r="BK37">
            <v>18</v>
          </cell>
          <cell r="BL37">
            <v>15</v>
          </cell>
          <cell r="BM37">
            <v>15</v>
          </cell>
          <cell r="BN37">
            <v>3</v>
          </cell>
          <cell r="BO37">
            <v>12</v>
          </cell>
          <cell r="BP37">
            <v>14</v>
          </cell>
          <cell r="BQ37">
            <v>4</v>
          </cell>
          <cell r="BS37">
            <v>3</v>
          </cell>
          <cell r="BT37">
            <v>1</v>
          </cell>
          <cell r="BV37">
            <v>1</v>
          </cell>
          <cell r="BW37">
            <v>15</v>
          </cell>
          <cell r="BY37">
            <v>4</v>
          </cell>
          <cell r="CA37">
            <v>2</v>
          </cell>
          <cell r="CC37">
            <v>2</v>
          </cell>
          <cell r="CD37">
            <v>5</v>
          </cell>
          <cell r="CE37">
            <v>1</v>
          </cell>
          <cell r="DP37">
            <v>12</v>
          </cell>
        </row>
        <row r="38">
          <cell r="A38">
            <v>37214401</v>
          </cell>
          <cell r="B38">
            <v>13</v>
          </cell>
          <cell r="C38">
            <v>37204126</v>
          </cell>
          <cell r="D38">
            <v>42</v>
          </cell>
          <cell r="X38" t="str">
            <v>MH</v>
          </cell>
          <cell r="Z38">
            <v>1</v>
          </cell>
          <cell r="AH38">
            <v>1</v>
          </cell>
          <cell r="AI38">
            <v>1</v>
          </cell>
          <cell r="AJ38">
            <v>1</v>
          </cell>
          <cell r="AL38">
            <v>2</v>
          </cell>
          <cell r="AM38">
            <v>1</v>
          </cell>
          <cell r="AO38">
            <v>1</v>
          </cell>
          <cell r="AQ38">
            <v>1</v>
          </cell>
          <cell r="AR38">
            <v>1</v>
          </cell>
          <cell r="AZ38">
            <v>1</v>
          </cell>
          <cell r="BA38">
            <v>1</v>
          </cell>
          <cell r="BN38">
            <v>1</v>
          </cell>
          <cell r="BV38">
            <v>1</v>
          </cell>
          <cell r="BY38">
            <v>1</v>
          </cell>
          <cell r="DP38">
            <v>116</v>
          </cell>
        </row>
        <row r="39">
          <cell r="C39">
            <v>37204127</v>
          </cell>
          <cell r="D39">
            <v>35</v>
          </cell>
          <cell r="X39" t="str">
            <v>NP</v>
          </cell>
          <cell r="Y39">
            <v>8</v>
          </cell>
          <cell r="Z39">
            <v>3</v>
          </cell>
          <cell r="AB39">
            <v>2</v>
          </cell>
          <cell r="AC39">
            <v>1</v>
          </cell>
          <cell r="AD39">
            <v>2</v>
          </cell>
          <cell r="AE39">
            <v>2</v>
          </cell>
          <cell r="AF39">
            <v>1</v>
          </cell>
          <cell r="AH39">
            <v>4</v>
          </cell>
          <cell r="AI39">
            <v>3</v>
          </cell>
          <cell r="AJ39">
            <v>1</v>
          </cell>
          <cell r="AK39">
            <v>2</v>
          </cell>
          <cell r="AM39">
            <v>4</v>
          </cell>
          <cell r="AN39">
            <v>1</v>
          </cell>
          <cell r="AO39">
            <v>2</v>
          </cell>
          <cell r="AS39">
            <v>2</v>
          </cell>
          <cell r="BB39">
            <v>4</v>
          </cell>
          <cell r="BC39">
            <v>3</v>
          </cell>
          <cell r="BE39">
            <v>2</v>
          </cell>
          <cell r="BG39">
            <v>2</v>
          </cell>
          <cell r="BH39">
            <v>3</v>
          </cell>
          <cell r="BI39">
            <v>1</v>
          </cell>
          <cell r="BJ39">
            <v>2</v>
          </cell>
          <cell r="BK39">
            <v>1</v>
          </cell>
          <cell r="BL39">
            <v>2</v>
          </cell>
          <cell r="BM39">
            <v>2</v>
          </cell>
          <cell r="BN39">
            <v>4</v>
          </cell>
          <cell r="BU39">
            <v>2</v>
          </cell>
          <cell r="CA39">
            <v>7</v>
          </cell>
          <cell r="CC39">
            <v>7</v>
          </cell>
          <cell r="CD39">
            <v>1</v>
          </cell>
          <cell r="CE39">
            <v>1</v>
          </cell>
          <cell r="DP39">
            <v>1067</v>
          </cell>
        </row>
        <row r="40">
          <cell r="C40">
            <v>37204128</v>
          </cell>
          <cell r="D40">
            <v>38</v>
          </cell>
          <cell r="X40" t="str">
            <v>NT</v>
          </cell>
          <cell r="Y40">
            <v>6</v>
          </cell>
          <cell r="Z40">
            <v>7</v>
          </cell>
          <cell r="AA40">
            <v>2</v>
          </cell>
          <cell r="AD40">
            <v>22</v>
          </cell>
          <cell r="AE40">
            <v>26</v>
          </cell>
          <cell r="AF40">
            <v>13</v>
          </cell>
          <cell r="AG40">
            <v>6</v>
          </cell>
          <cell r="AH40">
            <v>18</v>
          </cell>
          <cell r="AI40">
            <v>5</v>
          </cell>
          <cell r="AJ40">
            <v>15</v>
          </cell>
          <cell r="AK40">
            <v>27</v>
          </cell>
          <cell r="AL40">
            <v>25</v>
          </cell>
          <cell r="AM40">
            <v>9</v>
          </cell>
          <cell r="AN40">
            <v>16</v>
          </cell>
          <cell r="AO40">
            <v>32</v>
          </cell>
          <cell r="AP40">
            <v>24</v>
          </cell>
          <cell r="AQ40">
            <v>21</v>
          </cell>
          <cell r="AR40">
            <v>18</v>
          </cell>
          <cell r="AS40">
            <v>34</v>
          </cell>
          <cell r="AT40">
            <v>7</v>
          </cell>
          <cell r="AU40">
            <v>19</v>
          </cell>
          <cell r="AV40">
            <v>9</v>
          </cell>
          <cell r="AW40">
            <v>20</v>
          </cell>
          <cell r="AX40">
            <v>25</v>
          </cell>
          <cell r="AY40">
            <v>24</v>
          </cell>
          <cell r="AZ40">
            <v>10</v>
          </cell>
          <cell r="BA40">
            <v>23</v>
          </cell>
          <cell r="BB40">
            <v>34</v>
          </cell>
          <cell r="BC40">
            <v>42</v>
          </cell>
          <cell r="BD40">
            <v>23</v>
          </cell>
          <cell r="BE40">
            <v>45</v>
          </cell>
          <cell r="BF40">
            <v>8</v>
          </cell>
          <cell r="BG40">
            <v>48</v>
          </cell>
          <cell r="BH40">
            <v>30</v>
          </cell>
          <cell r="BI40">
            <v>17</v>
          </cell>
          <cell r="BJ40">
            <v>20</v>
          </cell>
          <cell r="BK40">
            <v>14</v>
          </cell>
          <cell r="BL40">
            <v>17</v>
          </cell>
          <cell r="BM40">
            <v>17</v>
          </cell>
          <cell r="BN40">
            <v>20</v>
          </cell>
          <cell r="BO40">
            <v>29</v>
          </cell>
          <cell r="BP40">
            <v>19</v>
          </cell>
          <cell r="BQ40">
            <v>19</v>
          </cell>
          <cell r="BR40">
            <v>10</v>
          </cell>
          <cell r="BS40">
            <v>17</v>
          </cell>
          <cell r="BT40">
            <v>10</v>
          </cell>
          <cell r="BU40">
            <v>6</v>
          </cell>
          <cell r="BV40">
            <v>4</v>
          </cell>
          <cell r="BW40">
            <v>11</v>
          </cell>
          <cell r="BX40">
            <v>3</v>
          </cell>
          <cell r="BY40">
            <v>20</v>
          </cell>
          <cell r="BZ40">
            <v>16</v>
          </cell>
          <cell r="CA40">
            <v>20</v>
          </cell>
          <cell r="CB40">
            <v>16</v>
          </cell>
          <cell r="CC40">
            <v>20</v>
          </cell>
          <cell r="CD40">
            <v>32</v>
          </cell>
          <cell r="CE40">
            <v>27</v>
          </cell>
          <cell r="CF40">
            <v>14</v>
          </cell>
          <cell r="DP40">
            <v>14</v>
          </cell>
        </row>
        <row r="41">
          <cell r="C41">
            <v>37204129</v>
          </cell>
          <cell r="D41">
            <v>41</v>
          </cell>
          <cell r="X41" t="str">
            <v>RA</v>
          </cell>
          <cell r="Y41">
            <v>2</v>
          </cell>
          <cell r="Z41">
            <v>2</v>
          </cell>
          <cell r="AA41">
            <v>2</v>
          </cell>
          <cell r="AD41">
            <v>2</v>
          </cell>
          <cell r="AE41">
            <v>2</v>
          </cell>
          <cell r="AF41">
            <v>2</v>
          </cell>
          <cell r="AG41">
            <v>3</v>
          </cell>
          <cell r="AI41">
            <v>1</v>
          </cell>
          <cell r="AN41">
            <v>2</v>
          </cell>
          <cell r="AV41">
            <v>2</v>
          </cell>
          <cell r="AX41">
            <v>1</v>
          </cell>
          <cell r="AY41">
            <v>1</v>
          </cell>
          <cell r="AZ41">
            <v>1</v>
          </cell>
          <cell r="BF41">
            <v>1</v>
          </cell>
          <cell r="BG41">
            <v>2</v>
          </cell>
          <cell r="BH41">
            <v>1</v>
          </cell>
          <cell r="BR41">
            <v>1</v>
          </cell>
          <cell r="BU41">
            <v>1</v>
          </cell>
          <cell r="DP41">
            <v>296</v>
          </cell>
        </row>
        <row r="42">
          <cell r="C42">
            <v>37204130</v>
          </cell>
          <cell r="D42">
            <v>37</v>
          </cell>
          <cell r="X42" t="str">
            <v>SU</v>
          </cell>
          <cell r="Y42">
            <v>50</v>
          </cell>
          <cell r="Z42">
            <v>26</v>
          </cell>
          <cell r="AA42">
            <v>55</v>
          </cell>
          <cell r="AB42">
            <v>1</v>
          </cell>
          <cell r="AD42">
            <v>11</v>
          </cell>
          <cell r="AE42">
            <v>5</v>
          </cell>
          <cell r="AF42">
            <v>5</v>
          </cell>
          <cell r="AG42">
            <v>6</v>
          </cell>
          <cell r="AH42">
            <v>40</v>
          </cell>
          <cell r="AI42">
            <v>31</v>
          </cell>
          <cell r="AJ42">
            <v>19</v>
          </cell>
          <cell r="AK42">
            <v>4</v>
          </cell>
          <cell r="AM42">
            <v>45</v>
          </cell>
          <cell r="AN42">
            <v>4</v>
          </cell>
          <cell r="AO42">
            <v>4</v>
          </cell>
          <cell r="AQ42">
            <v>6</v>
          </cell>
          <cell r="AR42">
            <v>1</v>
          </cell>
          <cell r="AS42">
            <v>1</v>
          </cell>
          <cell r="AT42">
            <v>5</v>
          </cell>
          <cell r="AU42">
            <v>2</v>
          </cell>
          <cell r="AV42">
            <v>14</v>
          </cell>
          <cell r="BB42">
            <v>1</v>
          </cell>
          <cell r="BC42">
            <v>1</v>
          </cell>
          <cell r="BE42">
            <v>2</v>
          </cell>
          <cell r="BF42">
            <v>2</v>
          </cell>
          <cell r="BN42">
            <v>9</v>
          </cell>
          <cell r="BO42">
            <v>1</v>
          </cell>
          <cell r="BP42">
            <v>1</v>
          </cell>
          <cell r="BR42">
            <v>2</v>
          </cell>
          <cell r="CE42">
            <v>1</v>
          </cell>
          <cell r="CF42">
            <v>6</v>
          </cell>
        </row>
        <row r="43">
          <cell r="C43">
            <v>37204131</v>
          </cell>
          <cell r="D43">
            <v>40</v>
          </cell>
        </row>
        <row r="44">
          <cell r="C44">
            <v>37204132</v>
          </cell>
          <cell r="D44">
            <v>75</v>
          </cell>
        </row>
        <row r="45">
          <cell r="C45">
            <v>37204133</v>
          </cell>
          <cell r="D45">
            <v>63</v>
          </cell>
        </row>
        <row r="46">
          <cell r="C46">
            <v>37204135</v>
          </cell>
          <cell r="D46">
            <v>46</v>
          </cell>
        </row>
        <row r="47">
          <cell r="C47">
            <v>37204136</v>
          </cell>
          <cell r="D47">
            <v>35</v>
          </cell>
        </row>
        <row r="48">
          <cell r="C48">
            <v>37204137</v>
          </cell>
          <cell r="D48">
            <v>46</v>
          </cell>
        </row>
        <row r="49">
          <cell r="C49">
            <v>37204205</v>
          </cell>
          <cell r="D49">
            <v>31</v>
          </cell>
        </row>
        <row r="50">
          <cell r="C50">
            <v>37204206</v>
          </cell>
          <cell r="D50">
            <v>14</v>
          </cell>
        </row>
        <row r="51">
          <cell r="C51">
            <v>37204209</v>
          </cell>
          <cell r="D51">
            <v>28</v>
          </cell>
        </row>
        <row r="52">
          <cell r="C52">
            <v>37204210</v>
          </cell>
          <cell r="D52">
            <v>12</v>
          </cell>
        </row>
        <row r="53">
          <cell r="C53">
            <v>37204218</v>
          </cell>
          <cell r="D53">
            <v>14</v>
          </cell>
        </row>
        <row r="54">
          <cell r="C54">
            <v>37204221</v>
          </cell>
          <cell r="D54">
            <v>18</v>
          </cell>
        </row>
        <row r="55">
          <cell r="C55">
            <v>37204223</v>
          </cell>
          <cell r="D55">
            <v>30</v>
          </cell>
        </row>
        <row r="56">
          <cell r="C56">
            <v>37204224</v>
          </cell>
          <cell r="D56">
            <v>18</v>
          </cell>
        </row>
        <row r="57">
          <cell r="C57">
            <v>37204225</v>
          </cell>
          <cell r="D57">
            <v>31</v>
          </cell>
        </row>
        <row r="58">
          <cell r="C58">
            <v>37204226</v>
          </cell>
          <cell r="D58">
            <v>27</v>
          </cell>
        </row>
        <row r="59">
          <cell r="C59">
            <v>37204301</v>
          </cell>
          <cell r="D59">
            <v>46</v>
          </cell>
        </row>
        <row r="60">
          <cell r="C60"/>
          <cell r="D60">
            <v>3005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rv.cat/ca/universitat/normatives/normativa-mobilitat/" TargetMode="External"/><Relationship Id="rId2" Type="http://schemas.openxmlformats.org/officeDocument/2006/relationships/hyperlink" Target="https://tarragona.euses.cat/professors-euses-tarragona/" TargetMode="External"/><Relationship Id="rId1" Type="http://schemas.openxmlformats.org/officeDocument/2006/relationships/hyperlink" Target="https://moodle.urv.cat/docnet/guia_docent/index.php?centre=codicentre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W112"/>
  <sheetViews>
    <sheetView tabSelected="1" zoomScaleNormal="100" workbookViewId="0">
      <selection activeCell="G6" sqref="G6"/>
    </sheetView>
  </sheetViews>
  <sheetFormatPr baseColWidth="10" defaultColWidth="11.5" defaultRowHeight="15" x14ac:dyDescent="0.2"/>
  <cols>
    <col min="5" max="5" width="12" customWidth="1"/>
  </cols>
  <sheetData>
    <row r="7" spans="2:10" ht="18" x14ac:dyDescent="0.2">
      <c r="B7" s="1" t="s">
        <v>0</v>
      </c>
    </row>
    <row r="9" spans="2:10" ht="18" x14ac:dyDescent="0.2">
      <c r="B9" s="1" t="s">
        <v>669</v>
      </c>
    </row>
    <row r="10" spans="2:10" ht="13.5" customHeight="1" x14ac:dyDescent="0.2">
      <c r="B10" s="1"/>
    </row>
    <row r="11" spans="2:10" x14ac:dyDescent="0.2">
      <c r="B11" s="634" t="s">
        <v>1</v>
      </c>
      <c r="C11" s="634"/>
      <c r="D11" s="634"/>
      <c r="E11" s="168"/>
      <c r="F11" s="494"/>
      <c r="G11" s="168"/>
      <c r="H11" s="168"/>
      <c r="I11" s="168"/>
      <c r="J11" s="168"/>
    </row>
    <row r="12" spans="2:10" ht="25.5" customHeight="1" x14ac:dyDescent="0.2">
      <c r="B12" s="731" t="s">
        <v>2</v>
      </c>
      <c r="C12" s="731"/>
      <c r="D12" s="731" t="s">
        <v>3</v>
      </c>
      <c r="E12" s="731"/>
      <c r="F12" s="731"/>
      <c r="G12" s="731"/>
      <c r="H12" s="731"/>
    </row>
    <row r="13" spans="2:10" x14ac:dyDescent="0.2">
      <c r="B13" s="734"/>
      <c r="C13" s="734"/>
      <c r="D13" s="170" t="s">
        <v>5</v>
      </c>
      <c r="E13" s="170" t="s">
        <v>6</v>
      </c>
      <c r="F13" s="170" t="s">
        <v>912</v>
      </c>
      <c r="G13" s="170" t="s">
        <v>985</v>
      </c>
      <c r="H13" s="170" t="s">
        <v>1169</v>
      </c>
    </row>
    <row r="14" spans="2:10" ht="15.75" customHeight="1" thickBot="1" x14ac:dyDescent="0.25">
      <c r="B14" s="744" t="s">
        <v>7</v>
      </c>
      <c r="C14" s="744"/>
      <c r="D14" s="27">
        <v>99</v>
      </c>
      <c r="E14" s="27">
        <v>108</v>
      </c>
      <c r="F14" s="27">
        <v>136</v>
      </c>
      <c r="G14" s="27">
        <v>146</v>
      </c>
      <c r="H14" s="27">
        <v>158</v>
      </c>
    </row>
    <row r="15" spans="2:10" ht="15" customHeight="1" thickBot="1" x14ac:dyDescent="0.25">
      <c r="B15" s="738" t="s">
        <v>8</v>
      </c>
      <c r="C15" s="738"/>
      <c r="D15" s="209">
        <v>240</v>
      </c>
      <c r="E15" s="209">
        <v>240</v>
      </c>
      <c r="F15" s="209">
        <v>240</v>
      </c>
      <c r="G15" s="209">
        <v>236</v>
      </c>
      <c r="H15" s="209">
        <v>235</v>
      </c>
    </row>
    <row r="16" spans="2:10" ht="15" customHeight="1" x14ac:dyDescent="0.2">
      <c r="B16" s="746" t="s">
        <v>9</v>
      </c>
      <c r="C16" s="746"/>
      <c r="D16" s="172">
        <v>1</v>
      </c>
      <c r="E16" s="172">
        <v>3</v>
      </c>
      <c r="F16" s="172">
        <v>8</v>
      </c>
      <c r="G16" s="172">
        <v>16</v>
      </c>
      <c r="H16" s="172">
        <v>21</v>
      </c>
    </row>
    <row r="17" spans="2:12" ht="16" thickBot="1" x14ac:dyDescent="0.25">
      <c r="B17" s="739" t="s">
        <v>11</v>
      </c>
      <c r="C17" s="739"/>
      <c r="D17" s="171">
        <f t="shared" ref="D17:E17" si="0">SUM(D14:D16)</f>
        <v>340</v>
      </c>
      <c r="E17" s="171">
        <f t="shared" si="0"/>
        <v>351</v>
      </c>
      <c r="F17" s="171">
        <f>SUM(F14:F16)</f>
        <v>384</v>
      </c>
      <c r="G17" s="171">
        <f>SUM(G14:G16)</f>
        <v>398</v>
      </c>
      <c r="H17" s="171">
        <f t="shared" ref="H17" si="1">SUM(H14:H16)</f>
        <v>414</v>
      </c>
    </row>
    <row r="18" spans="2:12" x14ac:dyDescent="0.2">
      <c r="B18" s="3" t="s">
        <v>1483</v>
      </c>
      <c r="C18" s="168"/>
      <c r="D18" s="168"/>
      <c r="E18" s="3"/>
      <c r="F18" s="168"/>
      <c r="G18" s="168"/>
      <c r="H18" s="168"/>
      <c r="I18" s="168"/>
      <c r="J18" s="168"/>
      <c r="L18" s="2"/>
    </row>
    <row r="19" spans="2:12" x14ac:dyDescent="0.2">
      <c r="B19" s="3" t="s">
        <v>12</v>
      </c>
      <c r="C19" s="168"/>
      <c r="D19" s="168"/>
      <c r="F19" s="168"/>
      <c r="G19" s="168"/>
      <c r="H19" s="168"/>
      <c r="I19" s="168"/>
      <c r="J19" s="168"/>
      <c r="L19" s="2"/>
    </row>
    <row r="20" spans="2:12" ht="13.5" customHeight="1" x14ac:dyDescent="0.2">
      <c r="B20" s="168"/>
      <c r="C20" s="168"/>
      <c r="D20" s="168"/>
      <c r="E20" s="168"/>
      <c r="F20" s="168"/>
      <c r="G20" s="168"/>
      <c r="H20" s="168"/>
      <c r="I20" s="168"/>
      <c r="J20" s="168"/>
    </row>
    <row r="21" spans="2:12" ht="13.5" customHeight="1" x14ac:dyDescent="0.2">
      <c r="B21" s="168"/>
      <c r="C21" s="168"/>
      <c r="D21" s="168"/>
      <c r="E21" s="168"/>
      <c r="F21" s="168"/>
      <c r="G21" s="168"/>
      <c r="H21" s="168"/>
      <c r="I21" s="168"/>
      <c r="J21" s="168"/>
    </row>
    <row r="22" spans="2:12" ht="12.75" customHeight="1" x14ac:dyDescent="0.2">
      <c r="B22" s="743" t="s">
        <v>811</v>
      </c>
      <c r="C22" s="743"/>
      <c r="D22" s="743"/>
      <c r="E22" s="743"/>
      <c r="F22" s="743"/>
      <c r="G22" s="743"/>
      <c r="H22" s="743"/>
      <c r="I22" s="494"/>
      <c r="J22" s="168"/>
    </row>
    <row r="23" spans="2:12" ht="15" customHeight="1" x14ac:dyDescent="0.2">
      <c r="B23" s="731" t="s">
        <v>846</v>
      </c>
      <c r="C23" s="731"/>
      <c r="D23" s="731" t="s">
        <v>13</v>
      </c>
      <c r="E23" s="731"/>
      <c r="F23" s="731"/>
      <c r="G23" s="731"/>
      <c r="H23" s="731"/>
    </row>
    <row r="24" spans="2:12" x14ac:dyDescent="0.2">
      <c r="B24" s="734"/>
      <c r="C24" s="734"/>
      <c r="D24" s="170" t="s">
        <v>5</v>
      </c>
      <c r="E24" s="170" t="s">
        <v>6</v>
      </c>
      <c r="F24" s="170" t="s">
        <v>912</v>
      </c>
      <c r="G24" s="170" t="s">
        <v>985</v>
      </c>
      <c r="H24" s="170" t="s">
        <v>1169</v>
      </c>
    </row>
    <row r="25" spans="2:12" ht="21" customHeight="1" thickBot="1" x14ac:dyDescent="0.25">
      <c r="B25" s="730" t="s">
        <v>14</v>
      </c>
      <c r="C25" s="730"/>
      <c r="D25" s="209">
        <v>3</v>
      </c>
      <c r="E25" s="209">
        <v>2</v>
      </c>
      <c r="F25" s="209">
        <v>2</v>
      </c>
      <c r="G25" s="422">
        <v>1</v>
      </c>
      <c r="H25" s="509">
        <v>1</v>
      </c>
    </row>
    <row r="26" spans="2:12" ht="21" customHeight="1" thickBot="1" x14ac:dyDescent="0.25">
      <c r="B26" s="733" t="s">
        <v>15</v>
      </c>
      <c r="C26" s="733"/>
      <c r="D26" s="209">
        <v>6</v>
      </c>
      <c r="E26" s="209">
        <v>3</v>
      </c>
      <c r="F26" s="209">
        <v>2</v>
      </c>
      <c r="G26" s="422">
        <v>1</v>
      </c>
      <c r="H26" s="509">
        <v>0</v>
      </c>
    </row>
    <row r="27" spans="2:12" ht="21" customHeight="1" thickBot="1" x14ac:dyDescent="0.25">
      <c r="B27" s="733" t="s">
        <v>16</v>
      </c>
      <c r="C27" s="733"/>
      <c r="D27" s="209">
        <v>8</v>
      </c>
      <c r="E27" s="209">
        <v>5</v>
      </c>
      <c r="F27" s="209">
        <v>3</v>
      </c>
      <c r="G27" s="422">
        <v>0</v>
      </c>
      <c r="H27" s="509">
        <v>0</v>
      </c>
    </row>
    <row r="28" spans="2:12" ht="21" customHeight="1" thickBot="1" x14ac:dyDescent="0.25">
      <c r="B28" s="733" t="s">
        <v>17</v>
      </c>
      <c r="C28" s="733"/>
      <c r="D28" s="209">
        <v>17</v>
      </c>
      <c r="E28" s="209">
        <v>6</v>
      </c>
      <c r="F28" s="209">
        <v>4</v>
      </c>
      <c r="G28" s="422">
        <v>1</v>
      </c>
      <c r="H28" s="509">
        <v>1</v>
      </c>
    </row>
    <row r="29" spans="2:12" ht="21" customHeight="1" thickBot="1" x14ac:dyDescent="0.25">
      <c r="B29" s="733" t="s">
        <v>18</v>
      </c>
      <c r="C29" s="733"/>
      <c r="D29" s="209">
        <v>13</v>
      </c>
      <c r="E29" s="209">
        <v>11</v>
      </c>
      <c r="F29" s="209">
        <v>1</v>
      </c>
      <c r="G29" s="422">
        <v>0</v>
      </c>
      <c r="H29" s="509">
        <v>0</v>
      </c>
    </row>
    <row r="30" spans="2:12" ht="21" customHeight="1" thickBot="1" x14ac:dyDescent="0.25">
      <c r="B30" s="733" t="s">
        <v>19</v>
      </c>
      <c r="C30" s="733"/>
      <c r="D30" s="209">
        <v>17</v>
      </c>
      <c r="E30" s="209">
        <v>15</v>
      </c>
      <c r="F30" s="209">
        <v>13</v>
      </c>
      <c r="G30" s="422">
        <v>3</v>
      </c>
      <c r="H30" s="509">
        <v>2</v>
      </c>
    </row>
    <row r="31" spans="2:12" ht="21" customHeight="1" thickBot="1" x14ac:dyDescent="0.25">
      <c r="B31" s="733" t="s">
        <v>20</v>
      </c>
      <c r="C31" s="733"/>
      <c r="D31" s="209">
        <v>35</v>
      </c>
      <c r="E31" s="209">
        <v>26</v>
      </c>
      <c r="F31" s="209">
        <v>23</v>
      </c>
      <c r="G31" s="422">
        <v>22</v>
      </c>
      <c r="H31" s="509">
        <v>8</v>
      </c>
    </row>
    <row r="32" spans="2:12" ht="21" customHeight="1" thickBot="1" x14ac:dyDescent="0.25">
      <c r="B32" s="742" t="s">
        <v>21</v>
      </c>
      <c r="C32" s="742"/>
      <c r="D32" s="209" t="s">
        <v>10</v>
      </c>
      <c r="E32" s="209">
        <v>40</v>
      </c>
      <c r="F32" s="209">
        <v>33</v>
      </c>
      <c r="G32" s="422">
        <v>24</v>
      </c>
      <c r="H32" s="509">
        <v>23</v>
      </c>
    </row>
    <row r="33" spans="2:10" ht="21" customHeight="1" thickBot="1" x14ac:dyDescent="0.25">
      <c r="B33" s="742" t="s">
        <v>959</v>
      </c>
      <c r="C33" s="742"/>
      <c r="D33" s="209" t="s">
        <v>10</v>
      </c>
      <c r="E33" s="209" t="s">
        <v>10</v>
      </c>
      <c r="F33" s="209">
        <v>55</v>
      </c>
      <c r="G33" s="422">
        <v>39</v>
      </c>
      <c r="H33" s="509">
        <v>23</v>
      </c>
    </row>
    <row r="34" spans="2:10" ht="21" customHeight="1" thickBot="1" x14ac:dyDescent="0.25">
      <c r="B34" s="742" t="s">
        <v>986</v>
      </c>
      <c r="C34" s="742"/>
      <c r="D34" s="209" t="s">
        <v>10</v>
      </c>
      <c r="E34" s="209" t="s">
        <v>10</v>
      </c>
      <c r="F34" s="209" t="s">
        <v>10</v>
      </c>
      <c r="G34" s="422">
        <v>55</v>
      </c>
      <c r="H34" s="509">
        <v>44</v>
      </c>
    </row>
    <row r="35" spans="2:10" ht="21" customHeight="1" x14ac:dyDescent="0.2">
      <c r="B35" s="742" t="s">
        <v>1170</v>
      </c>
      <c r="C35" s="742"/>
      <c r="D35" s="172" t="s">
        <v>10</v>
      </c>
      <c r="E35" s="172" t="s">
        <v>10</v>
      </c>
      <c r="F35" s="172" t="s">
        <v>10</v>
      </c>
      <c r="G35" s="491" t="s">
        <v>10</v>
      </c>
      <c r="H35" s="510">
        <v>56</v>
      </c>
    </row>
    <row r="36" spans="2:10" ht="12.75" customHeight="1" thickBot="1" x14ac:dyDescent="0.25">
      <c r="B36" s="739" t="s">
        <v>11</v>
      </c>
      <c r="C36" s="739"/>
      <c r="D36" s="171">
        <f>SUM(D25:D32)</f>
        <v>99</v>
      </c>
      <c r="E36" s="171">
        <f>SUM(E25:E32)</f>
        <v>108</v>
      </c>
      <c r="F36" s="171">
        <f>SUM(F25:F33)</f>
        <v>136</v>
      </c>
      <c r="G36" s="171">
        <f>SUM(G25:G34)</f>
        <v>146</v>
      </c>
      <c r="H36" s="171">
        <f>SUM(H25:H35)</f>
        <v>158</v>
      </c>
    </row>
    <row r="37" spans="2:10" x14ac:dyDescent="0.2">
      <c r="B37" s="3" t="s">
        <v>1483</v>
      </c>
      <c r="C37" s="168"/>
      <c r="D37" s="168"/>
      <c r="E37" s="168"/>
      <c r="F37" s="168"/>
      <c r="G37" s="168"/>
      <c r="H37" s="168"/>
      <c r="I37" s="168"/>
      <c r="J37" s="168"/>
    </row>
    <row r="38" spans="2:10" x14ac:dyDescent="0.2">
      <c r="B38" s="3" t="s">
        <v>12</v>
      </c>
      <c r="C38" s="168"/>
      <c r="D38" s="168"/>
      <c r="E38" s="168"/>
      <c r="F38" s="168"/>
      <c r="G38" s="168"/>
      <c r="H38" s="168"/>
      <c r="I38" s="168"/>
      <c r="J38" s="168"/>
    </row>
    <row r="39" spans="2:10" ht="12.75" customHeight="1" x14ac:dyDescent="0.2">
      <c r="B39" s="168"/>
      <c r="C39" s="168"/>
      <c r="D39" s="168"/>
      <c r="E39" s="168"/>
      <c r="F39" s="168"/>
      <c r="G39" s="168"/>
      <c r="H39" s="168"/>
      <c r="I39" s="168"/>
      <c r="J39" s="168"/>
    </row>
    <row r="40" spans="2:10" ht="12.75" customHeight="1" x14ac:dyDescent="0.2">
      <c r="B40" s="168"/>
      <c r="C40" s="168"/>
      <c r="D40" s="168"/>
      <c r="E40" s="168"/>
      <c r="F40" s="168"/>
      <c r="G40" s="168"/>
      <c r="H40" s="168"/>
      <c r="I40" s="168"/>
      <c r="J40" s="168"/>
    </row>
    <row r="41" spans="2:10" ht="12.75" customHeight="1" x14ac:dyDescent="0.2">
      <c r="B41" s="735" t="s">
        <v>810</v>
      </c>
      <c r="C41" s="735"/>
      <c r="D41" s="735"/>
      <c r="E41" s="735"/>
      <c r="F41" s="735"/>
      <c r="G41" s="735"/>
      <c r="H41" s="735"/>
      <c r="I41" s="494"/>
      <c r="J41" s="168"/>
    </row>
    <row r="42" spans="2:10" ht="15" customHeight="1" x14ac:dyDescent="0.2">
      <c r="B42" s="732" t="s">
        <v>846</v>
      </c>
      <c r="C42" s="732"/>
      <c r="D42" s="732" t="s">
        <v>22</v>
      </c>
      <c r="E42" s="732"/>
      <c r="F42" s="732"/>
      <c r="G42" s="732"/>
      <c r="H42" s="732"/>
    </row>
    <row r="43" spans="2:10" x14ac:dyDescent="0.2">
      <c r="B43" s="734"/>
      <c r="C43" s="734"/>
      <c r="D43" s="170" t="s">
        <v>5</v>
      </c>
      <c r="E43" s="170" t="s">
        <v>6</v>
      </c>
      <c r="F43" s="170" t="s">
        <v>912</v>
      </c>
      <c r="G43" s="170" t="s">
        <v>985</v>
      </c>
      <c r="H43" s="170" t="s">
        <v>1169</v>
      </c>
    </row>
    <row r="44" spans="2:10" ht="16" thickBot="1" x14ac:dyDescent="0.25">
      <c r="B44" s="730" t="s">
        <v>14</v>
      </c>
      <c r="C44" s="730"/>
      <c r="D44" s="209">
        <v>3</v>
      </c>
      <c r="E44" s="209">
        <v>1</v>
      </c>
      <c r="F44" s="209">
        <v>2</v>
      </c>
      <c r="G44" s="509">
        <v>0</v>
      </c>
      <c r="H44" s="509">
        <v>0</v>
      </c>
    </row>
    <row r="45" spans="2:10" ht="16" thickBot="1" x14ac:dyDescent="0.25">
      <c r="B45" s="733" t="s">
        <v>15</v>
      </c>
      <c r="C45" s="733"/>
      <c r="D45" s="209">
        <v>2</v>
      </c>
      <c r="E45" s="209">
        <v>1</v>
      </c>
      <c r="F45" s="209">
        <v>1</v>
      </c>
      <c r="G45" s="509">
        <v>0</v>
      </c>
      <c r="H45" s="509">
        <v>0</v>
      </c>
    </row>
    <row r="46" spans="2:10" ht="16" thickBot="1" x14ac:dyDescent="0.25">
      <c r="B46" s="733" t="s">
        <v>16</v>
      </c>
      <c r="C46" s="733"/>
      <c r="D46" s="209">
        <v>22</v>
      </c>
      <c r="E46" s="209">
        <v>7</v>
      </c>
      <c r="F46" s="209">
        <v>2</v>
      </c>
      <c r="G46" s="509">
        <v>1</v>
      </c>
      <c r="H46" s="509">
        <v>1</v>
      </c>
    </row>
    <row r="47" spans="2:10" ht="16" thickBot="1" x14ac:dyDescent="0.25">
      <c r="B47" s="733" t="s">
        <v>17</v>
      </c>
      <c r="C47" s="733"/>
      <c r="D47" s="209">
        <v>45</v>
      </c>
      <c r="E47" s="209">
        <v>27</v>
      </c>
      <c r="F47" s="209">
        <v>13</v>
      </c>
      <c r="G47" s="509">
        <v>7</v>
      </c>
      <c r="H47" s="509">
        <v>3</v>
      </c>
    </row>
    <row r="48" spans="2:10" ht="16" thickBot="1" x14ac:dyDescent="0.25">
      <c r="B48" s="733" t="s">
        <v>18</v>
      </c>
      <c r="C48" s="733"/>
      <c r="D48" s="209">
        <v>53</v>
      </c>
      <c r="E48" s="209">
        <v>49</v>
      </c>
      <c r="F48" s="209">
        <v>29</v>
      </c>
      <c r="G48" s="509">
        <v>10</v>
      </c>
      <c r="H48" s="509">
        <v>3</v>
      </c>
    </row>
    <row r="49" spans="2:10" ht="16" thickBot="1" x14ac:dyDescent="0.25">
      <c r="B49" s="733" t="s">
        <v>19</v>
      </c>
      <c r="C49" s="733"/>
      <c r="D49" s="209">
        <v>52</v>
      </c>
      <c r="E49" s="209">
        <v>42</v>
      </c>
      <c r="F49" s="209">
        <v>41</v>
      </c>
      <c r="G49" s="509">
        <v>11</v>
      </c>
      <c r="H49" s="509">
        <v>2</v>
      </c>
    </row>
    <row r="50" spans="2:10" ht="16" thickBot="1" x14ac:dyDescent="0.25">
      <c r="B50" s="733" t="s">
        <v>20</v>
      </c>
      <c r="C50" s="733"/>
      <c r="D50" s="209">
        <v>63</v>
      </c>
      <c r="E50" s="209">
        <v>54</v>
      </c>
      <c r="F50" s="209">
        <v>50</v>
      </c>
      <c r="G50" s="509">
        <v>48</v>
      </c>
      <c r="H50" s="509">
        <v>16</v>
      </c>
    </row>
    <row r="51" spans="2:10" ht="16" thickBot="1" x14ac:dyDescent="0.25">
      <c r="B51" s="742" t="s">
        <v>21</v>
      </c>
      <c r="C51" s="742"/>
      <c r="D51" s="209" t="s">
        <v>10</v>
      </c>
      <c r="E51" s="209">
        <v>59</v>
      </c>
      <c r="F51" s="209">
        <v>54</v>
      </c>
      <c r="G51" s="509">
        <v>51</v>
      </c>
      <c r="H51" s="509">
        <v>48</v>
      </c>
    </row>
    <row r="52" spans="2:10" ht="21" customHeight="1" thickBot="1" x14ac:dyDescent="0.25">
      <c r="B52" s="737" t="s">
        <v>959</v>
      </c>
      <c r="C52" s="737"/>
      <c r="D52" s="209" t="s">
        <v>10</v>
      </c>
      <c r="E52" s="209" t="s">
        <v>10</v>
      </c>
      <c r="F52" s="209">
        <v>48</v>
      </c>
      <c r="G52" s="509">
        <v>44</v>
      </c>
      <c r="H52" s="509">
        <v>44</v>
      </c>
    </row>
    <row r="53" spans="2:10" ht="21" customHeight="1" thickBot="1" x14ac:dyDescent="0.25">
      <c r="B53" s="737" t="s">
        <v>986</v>
      </c>
      <c r="C53" s="737"/>
      <c r="D53" s="209" t="s">
        <v>10</v>
      </c>
      <c r="E53" s="209" t="s">
        <v>10</v>
      </c>
      <c r="F53" s="209" t="s">
        <v>10</v>
      </c>
      <c r="G53" s="509">
        <v>64</v>
      </c>
      <c r="H53" s="509">
        <v>57</v>
      </c>
    </row>
    <row r="54" spans="2:10" ht="21" customHeight="1" x14ac:dyDescent="0.2">
      <c r="B54" s="742" t="s">
        <v>1170</v>
      </c>
      <c r="C54" s="742"/>
      <c r="D54" s="172" t="s">
        <v>10</v>
      </c>
      <c r="E54" s="172" t="s">
        <v>10</v>
      </c>
      <c r="F54" s="172" t="s">
        <v>10</v>
      </c>
      <c r="G54" s="511" t="s">
        <v>10</v>
      </c>
      <c r="H54" s="510">
        <v>61</v>
      </c>
    </row>
    <row r="55" spans="2:10" ht="16" thickBot="1" x14ac:dyDescent="0.25">
      <c r="B55" s="739" t="s">
        <v>11</v>
      </c>
      <c r="C55" s="739"/>
      <c r="D55" s="171">
        <f>SUM(D44:D51)</f>
        <v>240</v>
      </c>
      <c r="E55" s="171">
        <f>SUM(E44:E51)</f>
        <v>240</v>
      </c>
      <c r="F55" s="171">
        <f>SUM(F44:F52)</f>
        <v>240</v>
      </c>
      <c r="G55" s="171">
        <f>SUM(G44:G53)</f>
        <v>236</v>
      </c>
      <c r="H55" s="171">
        <f>SUM(H44:H54)</f>
        <v>235</v>
      </c>
    </row>
    <row r="56" spans="2:10" ht="12.75" customHeight="1" x14ac:dyDescent="0.2">
      <c r="B56" s="3" t="s">
        <v>1483</v>
      </c>
      <c r="C56" s="168"/>
      <c r="D56" s="168"/>
      <c r="E56" s="168"/>
      <c r="F56" s="168"/>
      <c r="G56" s="168"/>
      <c r="H56" s="168"/>
      <c r="I56" s="3"/>
      <c r="J56" s="168"/>
    </row>
    <row r="57" spans="2:10" ht="12.75" customHeight="1" x14ac:dyDescent="0.2">
      <c r="B57" s="3" t="s">
        <v>12</v>
      </c>
      <c r="C57" s="168"/>
      <c r="D57" s="168"/>
      <c r="E57" s="168"/>
      <c r="F57" s="168"/>
      <c r="G57" s="168"/>
      <c r="H57" s="168"/>
      <c r="I57" s="3"/>
      <c r="J57" s="168"/>
    </row>
    <row r="58" spans="2:10" x14ac:dyDescent="0.2">
      <c r="B58" s="168"/>
      <c r="C58" s="168"/>
      <c r="D58" s="168"/>
      <c r="E58" s="168"/>
      <c r="F58" s="168"/>
      <c r="G58" s="168"/>
      <c r="H58" s="168"/>
      <c r="I58" s="3"/>
      <c r="J58" s="168"/>
    </row>
    <row r="59" spans="2:10" x14ac:dyDescent="0.2">
      <c r="B59" s="168"/>
      <c r="C59" s="168"/>
      <c r="D59" s="168"/>
      <c r="E59" s="168"/>
      <c r="F59" s="168"/>
      <c r="G59" s="168"/>
      <c r="H59" s="168"/>
      <c r="I59" s="3"/>
      <c r="J59" s="168"/>
    </row>
    <row r="60" spans="2:10" ht="15" customHeight="1" x14ac:dyDescent="0.2">
      <c r="B60" s="743" t="s">
        <v>812</v>
      </c>
      <c r="C60" s="743"/>
      <c r="D60" s="743"/>
      <c r="E60" s="743"/>
      <c r="F60" s="743"/>
      <c r="G60" s="743"/>
      <c r="H60" s="743"/>
      <c r="I60" s="494"/>
      <c r="J60" s="168"/>
    </row>
    <row r="61" spans="2:10" ht="25.5" customHeight="1" x14ac:dyDescent="0.2">
      <c r="B61" s="740" t="s">
        <v>846</v>
      </c>
      <c r="C61" s="740"/>
      <c r="D61" s="731" t="s">
        <v>847</v>
      </c>
      <c r="E61" s="731"/>
      <c r="F61" s="731"/>
      <c r="G61" s="731"/>
      <c r="H61" s="731"/>
      <c r="I61" s="168"/>
      <c r="J61" s="168"/>
    </row>
    <row r="62" spans="2:10" x14ac:dyDescent="0.2">
      <c r="B62" s="741"/>
      <c r="C62" s="741"/>
      <c r="D62" s="170" t="s">
        <v>5</v>
      </c>
      <c r="E62" s="170" t="s">
        <v>6</v>
      </c>
      <c r="F62" s="170" t="s">
        <v>912</v>
      </c>
      <c r="G62" s="170" t="s">
        <v>985</v>
      </c>
      <c r="H62" s="170" t="s">
        <v>1169</v>
      </c>
      <c r="I62" s="168"/>
      <c r="J62" s="168"/>
    </row>
    <row r="63" spans="2:10" ht="16" thickBot="1" x14ac:dyDescent="0.25">
      <c r="B63" s="730" t="s">
        <v>19</v>
      </c>
      <c r="C63" s="730"/>
      <c r="D63" s="173">
        <v>1</v>
      </c>
      <c r="E63" s="173">
        <v>1</v>
      </c>
      <c r="F63" s="173">
        <v>1</v>
      </c>
      <c r="G63" s="173">
        <v>0</v>
      </c>
      <c r="H63" s="512">
        <v>0</v>
      </c>
      <c r="I63" s="168"/>
      <c r="J63" s="168"/>
    </row>
    <row r="64" spans="2:10" ht="16" thickBot="1" x14ac:dyDescent="0.25">
      <c r="B64" s="733" t="s">
        <v>20</v>
      </c>
      <c r="C64" s="733"/>
      <c r="D64" s="173">
        <v>1</v>
      </c>
      <c r="E64" s="173">
        <v>1</v>
      </c>
      <c r="F64" s="173">
        <v>1</v>
      </c>
      <c r="G64" s="173">
        <v>1</v>
      </c>
      <c r="H64" s="512">
        <v>1</v>
      </c>
      <c r="I64" s="168"/>
      <c r="J64" s="168"/>
    </row>
    <row r="65" spans="2:23" ht="16" thickBot="1" x14ac:dyDescent="0.25">
      <c r="B65" s="742" t="s">
        <v>21</v>
      </c>
      <c r="C65" s="742"/>
      <c r="D65" s="173" t="s">
        <v>10</v>
      </c>
      <c r="E65" s="173">
        <v>3</v>
      </c>
      <c r="F65" s="173">
        <v>2</v>
      </c>
      <c r="G65" s="173">
        <v>2</v>
      </c>
      <c r="H65" s="512">
        <v>2</v>
      </c>
      <c r="I65" s="168"/>
      <c r="J65" s="168"/>
    </row>
    <row r="66" spans="2:23" ht="16" thickBot="1" x14ac:dyDescent="0.25">
      <c r="B66" s="737" t="s">
        <v>959</v>
      </c>
      <c r="C66" s="737"/>
      <c r="D66" s="173" t="s">
        <v>10</v>
      </c>
      <c r="E66" s="173" t="s">
        <v>10</v>
      </c>
      <c r="F66" s="173">
        <v>4</v>
      </c>
      <c r="G66" s="173">
        <v>1</v>
      </c>
      <c r="H66" s="512">
        <v>1</v>
      </c>
      <c r="I66" s="168"/>
      <c r="J66" s="168"/>
    </row>
    <row r="67" spans="2:23" ht="16" thickBot="1" x14ac:dyDescent="0.25">
      <c r="B67" s="737" t="s">
        <v>986</v>
      </c>
      <c r="C67" s="737"/>
      <c r="D67" s="173" t="s">
        <v>10</v>
      </c>
      <c r="E67" s="173" t="s">
        <v>10</v>
      </c>
      <c r="F67" s="173" t="s">
        <v>10</v>
      </c>
      <c r="G67" s="512">
        <v>12</v>
      </c>
      <c r="H67" s="512">
        <v>6</v>
      </c>
      <c r="I67" s="168"/>
      <c r="J67" s="168"/>
    </row>
    <row r="68" spans="2:23" ht="21" customHeight="1" x14ac:dyDescent="0.2">
      <c r="B68" s="742" t="s">
        <v>1170</v>
      </c>
      <c r="C68" s="742"/>
      <c r="D68" s="172" t="s">
        <v>10</v>
      </c>
      <c r="E68" s="172" t="s">
        <v>10</v>
      </c>
      <c r="F68" s="172" t="s">
        <v>10</v>
      </c>
      <c r="G68" s="491" t="s">
        <v>10</v>
      </c>
      <c r="H68" s="510">
        <v>11</v>
      </c>
    </row>
    <row r="69" spans="2:23" ht="16" thickBot="1" x14ac:dyDescent="0.25">
      <c r="B69" s="739" t="s">
        <v>11</v>
      </c>
      <c r="C69" s="739"/>
      <c r="D69" s="171">
        <f>SUM(D63:D65)</f>
        <v>2</v>
      </c>
      <c r="E69" s="171">
        <f>SUM(E63:E65)</f>
        <v>5</v>
      </c>
      <c r="F69" s="171">
        <f>SUM(F63:F66)</f>
        <v>8</v>
      </c>
      <c r="G69" s="171">
        <f>SUM(G63:G67)</f>
        <v>16</v>
      </c>
      <c r="H69" s="171">
        <f>SUM(H63:H68)</f>
        <v>21</v>
      </c>
      <c r="I69" s="168"/>
      <c r="J69" s="168"/>
    </row>
    <row r="70" spans="2:23" x14ac:dyDescent="0.2">
      <c r="B70" s="3" t="s">
        <v>1483</v>
      </c>
      <c r="C70" s="168"/>
      <c r="D70" s="168"/>
      <c r="E70" s="168"/>
      <c r="F70" s="168"/>
      <c r="G70" s="168"/>
      <c r="H70" s="168"/>
      <c r="I70" s="3"/>
      <c r="J70" s="168"/>
    </row>
    <row r="71" spans="2:23" x14ac:dyDescent="0.2">
      <c r="B71" s="3" t="s">
        <v>12</v>
      </c>
      <c r="C71" s="168"/>
      <c r="D71" s="168"/>
      <c r="E71" s="168"/>
      <c r="F71" s="168"/>
      <c r="G71" s="168"/>
      <c r="H71" s="168"/>
      <c r="I71" s="3"/>
      <c r="J71" s="168"/>
    </row>
    <row r="72" spans="2:23" x14ac:dyDescent="0.2">
      <c r="B72" s="168"/>
      <c r="C72" s="168"/>
      <c r="D72" s="168"/>
      <c r="E72" s="168"/>
      <c r="F72" s="168"/>
      <c r="G72" s="168"/>
      <c r="H72" s="168"/>
      <c r="I72" s="3"/>
      <c r="J72" s="168"/>
    </row>
    <row r="73" spans="2:23" x14ac:dyDescent="0.2">
      <c r="B73" s="168"/>
      <c r="C73" s="168"/>
      <c r="D73" s="168"/>
      <c r="E73" s="168"/>
      <c r="F73" s="168"/>
      <c r="G73" s="168"/>
      <c r="H73" s="168"/>
      <c r="I73" s="3"/>
      <c r="J73" s="168"/>
    </row>
    <row r="74" spans="2:23" x14ac:dyDescent="0.2">
      <c r="B74" s="743" t="s">
        <v>24</v>
      </c>
      <c r="C74" s="743"/>
      <c r="D74" s="743"/>
      <c r="E74" s="743"/>
      <c r="F74" s="743"/>
      <c r="G74" s="494"/>
      <c r="H74" s="168"/>
      <c r="I74" s="3"/>
      <c r="J74" s="168"/>
    </row>
    <row r="75" spans="2:23" ht="15" customHeight="1" x14ac:dyDescent="0.2">
      <c r="B75" s="731" t="s">
        <v>2</v>
      </c>
      <c r="C75" s="731"/>
      <c r="D75" s="731" t="s">
        <v>848</v>
      </c>
      <c r="E75" s="731"/>
      <c r="F75" s="731"/>
      <c r="G75" s="731"/>
      <c r="H75" s="731"/>
      <c r="K75" s="637"/>
      <c r="L75" s="638"/>
      <c r="M75" s="638"/>
      <c r="N75" s="638"/>
      <c r="O75" s="638"/>
      <c r="P75" s="638"/>
      <c r="Q75" s="638"/>
      <c r="R75" s="637"/>
      <c r="T75" s="291"/>
      <c r="U75" s="291"/>
      <c r="V75" s="291"/>
      <c r="W75" s="291"/>
    </row>
    <row r="76" spans="2:23" x14ac:dyDescent="0.2">
      <c r="B76" s="734"/>
      <c r="C76" s="734"/>
      <c r="D76" s="170" t="s">
        <v>5</v>
      </c>
      <c r="E76" s="170" t="s">
        <v>6</v>
      </c>
      <c r="F76" s="170" t="s">
        <v>912</v>
      </c>
      <c r="G76" s="170" t="s">
        <v>985</v>
      </c>
      <c r="H76" s="170" t="s">
        <v>1169</v>
      </c>
      <c r="K76" s="639"/>
      <c r="L76" s="640"/>
      <c r="M76" s="640"/>
      <c r="N76" s="640"/>
      <c r="O76" s="641"/>
      <c r="P76" s="640"/>
      <c r="Q76" s="640"/>
      <c r="R76" s="641"/>
    </row>
    <row r="77" spans="2:23" ht="16" thickBot="1" x14ac:dyDescent="0.25">
      <c r="B77" s="744" t="s">
        <v>7</v>
      </c>
      <c r="C77" s="744"/>
      <c r="D77" s="27">
        <v>14</v>
      </c>
      <c r="E77" s="27">
        <v>16</v>
      </c>
      <c r="F77" s="27">
        <v>15</v>
      </c>
      <c r="G77" s="513">
        <v>17</v>
      </c>
      <c r="H77" s="513">
        <v>18</v>
      </c>
      <c r="K77" s="639"/>
      <c r="L77" s="640"/>
      <c r="M77" s="640"/>
      <c r="N77" s="640"/>
      <c r="O77" s="641"/>
      <c r="P77" s="641"/>
      <c r="Q77" s="640"/>
      <c r="R77" s="641"/>
    </row>
    <row r="78" spans="2:23" ht="16" thickBot="1" x14ac:dyDescent="0.25">
      <c r="B78" s="738" t="s">
        <v>8</v>
      </c>
      <c r="C78" s="738"/>
      <c r="D78" s="209">
        <v>31</v>
      </c>
      <c r="E78" s="209">
        <v>33</v>
      </c>
      <c r="F78" s="209">
        <v>60</v>
      </c>
      <c r="G78" s="509">
        <v>48</v>
      </c>
      <c r="H78" s="209">
        <v>35</v>
      </c>
      <c r="K78" s="639"/>
      <c r="L78" s="641"/>
      <c r="M78" s="641"/>
      <c r="N78" s="641"/>
      <c r="O78" s="641"/>
      <c r="P78" s="641"/>
      <c r="Q78" s="641"/>
      <c r="R78" s="641"/>
    </row>
    <row r="79" spans="2:23" ht="15.75" customHeight="1" thickBot="1" x14ac:dyDescent="0.25">
      <c r="B79" s="738" t="s">
        <v>9</v>
      </c>
      <c r="C79" s="738"/>
      <c r="D79" s="172" t="s">
        <v>10</v>
      </c>
      <c r="E79" s="172" t="s">
        <v>10</v>
      </c>
      <c r="F79" s="172">
        <v>1</v>
      </c>
      <c r="G79" s="172">
        <v>0</v>
      </c>
      <c r="H79" s="510">
        <v>1</v>
      </c>
      <c r="K79" s="639"/>
      <c r="L79" s="641"/>
      <c r="M79" s="641"/>
      <c r="N79" s="641"/>
      <c r="O79" s="641"/>
      <c r="P79" s="641"/>
      <c r="Q79" s="641"/>
      <c r="R79" s="641"/>
    </row>
    <row r="80" spans="2:23" ht="16" thickBot="1" x14ac:dyDescent="0.25">
      <c r="B80" s="745" t="s">
        <v>11</v>
      </c>
      <c r="C80" s="745"/>
      <c r="D80" s="171">
        <f>SUM(D77:D78)</f>
        <v>45</v>
      </c>
      <c r="E80" s="171">
        <f>SUM(E77:E78)</f>
        <v>49</v>
      </c>
      <c r="F80" s="171">
        <f>SUM(F77:F79:F78)</f>
        <v>76</v>
      </c>
      <c r="G80" s="171">
        <f>SUM(G77:G79:G78)</f>
        <v>65</v>
      </c>
      <c r="H80" s="171">
        <f>SUM(H77:H79)</f>
        <v>54</v>
      </c>
    </row>
    <row r="81" spans="2:10" x14ac:dyDescent="0.2">
      <c r="B81" s="3" t="s">
        <v>1483</v>
      </c>
      <c r="C81" s="4"/>
      <c r="D81" s="168"/>
      <c r="E81" s="3"/>
      <c r="F81" s="168"/>
      <c r="G81" s="168"/>
      <c r="H81" s="168"/>
      <c r="I81" s="3"/>
      <c r="J81" s="168"/>
    </row>
    <row r="82" spans="2:10" x14ac:dyDescent="0.2">
      <c r="B82" s="3" t="s">
        <v>12</v>
      </c>
      <c r="C82" s="3"/>
      <c r="D82" s="3"/>
      <c r="E82" s="3"/>
      <c r="F82" s="168"/>
      <c r="G82" s="168"/>
      <c r="H82" s="168"/>
      <c r="I82" s="3"/>
      <c r="J82" s="168"/>
    </row>
    <row r="83" spans="2:10" x14ac:dyDescent="0.2">
      <c r="B83" s="168"/>
      <c r="C83" s="168"/>
      <c r="D83" s="168"/>
      <c r="E83" s="168"/>
      <c r="F83" s="168"/>
      <c r="G83" s="168"/>
      <c r="H83" s="168"/>
      <c r="I83" s="168"/>
      <c r="J83" s="168"/>
    </row>
    <row r="84" spans="2:10" x14ac:dyDescent="0.2">
      <c r="B84" s="168"/>
      <c r="C84" s="168"/>
      <c r="D84" s="168"/>
      <c r="E84" s="168"/>
      <c r="F84" s="168"/>
      <c r="G84" s="168"/>
      <c r="H84" s="168"/>
      <c r="I84" s="168"/>
      <c r="J84" s="168"/>
    </row>
    <row r="85" spans="2:10" x14ac:dyDescent="0.2">
      <c r="B85" s="642" t="s">
        <v>913</v>
      </c>
      <c r="C85" s="642"/>
      <c r="D85" s="642"/>
      <c r="E85" s="593"/>
      <c r="F85" s="593"/>
      <c r="G85" s="494"/>
      <c r="H85" s="275"/>
      <c r="I85" s="168"/>
      <c r="J85" s="168"/>
    </row>
    <row r="86" spans="2:10" ht="15" customHeight="1" x14ac:dyDescent="0.2">
      <c r="B86" s="731" t="s">
        <v>2</v>
      </c>
      <c r="C86" s="731"/>
      <c r="D86" s="731" t="s">
        <v>26</v>
      </c>
      <c r="E86" s="731"/>
      <c r="F86" s="731"/>
      <c r="G86" s="731"/>
      <c r="H86" s="731"/>
    </row>
    <row r="87" spans="2:10" x14ac:dyDescent="0.2">
      <c r="B87" s="734"/>
      <c r="C87" s="734"/>
      <c r="D87" s="170" t="s">
        <v>5</v>
      </c>
      <c r="E87" s="170" t="s">
        <v>6</v>
      </c>
      <c r="F87" s="170" t="s">
        <v>912</v>
      </c>
      <c r="G87" s="170" t="s">
        <v>985</v>
      </c>
      <c r="H87" s="170" t="s">
        <v>1169</v>
      </c>
    </row>
    <row r="88" spans="2:10" ht="16" thickBot="1" x14ac:dyDescent="0.25">
      <c r="B88" s="744" t="s">
        <v>7</v>
      </c>
      <c r="C88" s="744"/>
      <c r="D88" s="27">
        <v>28</v>
      </c>
      <c r="E88" s="27">
        <v>28</v>
      </c>
      <c r="F88" s="27">
        <v>31</v>
      </c>
      <c r="G88" s="513">
        <v>28</v>
      </c>
      <c r="H88" s="513">
        <v>26</v>
      </c>
    </row>
    <row r="89" spans="2:10" ht="16" thickBot="1" x14ac:dyDescent="0.25">
      <c r="B89" s="738" t="s">
        <v>8</v>
      </c>
      <c r="C89" s="738"/>
      <c r="D89" s="209">
        <v>34</v>
      </c>
      <c r="E89" s="209">
        <v>34</v>
      </c>
      <c r="F89" s="209">
        <v>35</v>
      </c>
      <c r="G89" s="509">
        <v>32</v>
      </c>
      <c r="H89" s="509">
        <v>31</v>
      </c>
    </row>
    <row r="90" spans="2:10" ht="16" thickBot="1" x14ac:dyDescent="0.25">
      <c r="B90" s="745" t="s">
        <v>11</v>
      </c>
      <c r="C90" s="745"/>
      <c r="D90" s="171">
        <f>SUM(D88:D89)</f>
        <v>62</v>
      </c>
      <c r="E90" s="171">
        <f>SUM(E88:E89)</f>
        <v>62</v>
      </c>
      <c r="F90" s="171">
        <f>SUM(F88:F89)</f>
        <v>66</v>
      </c>
      <c r="G90" s="171">
        <f>SUM(G88:G89)</f>
        <v>60</v>
      </c>
      <c r="H90" s="171">
        <f t="shared" ref="H90" si="2">SUM(H88:H89)</f>
        <v>57</v>
      </c>
    </row>
    <row r="91" spans="2:10" x14ac:dyDescent="0.2">
      <c r="B91" s="3" t="s">
        <v>1483</v>
      </c>
      <c r="C91" s="168"/>
      <c r="D91" s="168"/>
      <c r="E91" s="168"/>
      <c r="F91" s="168"/>
      <c r="G91" s="168"/>
      <c r="H91" s="168"/>
      <c r="I91" s="168"/>
      <c r="J91" s="168"/>
    </row>
    <row r="92" spans="2:10" x14ac:dyDescent="0.2">
      <c r="B92" s="3" t="s">
        <v>12</v>
      </c>
      <c r="C92" s="168"/>
      <c r="D92" s="168"/>
      <c r="E92" s="168"/>
      <c r="F92" s="168"/>
      <c r="G92" s="168"/>
      <c r="H92" s="168"/>
      <c r="I92" s="168"/>
      <c r="J92" s="168"/>
    </row>
    <row r="93" spans="2:10" x14ac:dyDescent="0.2">
      <c r="B93" s="3"/>
      <c r="C93" s="168"/>
      <c r="D93" s="168"/>
      <c r="E93" s="168"/>
      <c r="F93" s="168"/>
      <c r="G93" s="168"/>
      <c r="H93" s="168"/>
      <c r="I93" s="168"/>
      <c r="J93" s="168"/>
    </row>
    <row r="94" spans="2:10" x14ac:dyDescent="0.2">
      <c r="B94" s="642" t="s">
        <v>914</v>
      </c>
      <c r="C94" s="168"/>
      <c r="D94" s="168"/>
      <c r="E94" s="168"/>
      <c r="F94" s="168"/>
      <c r="G94" s="168"/>
      <c r="H94" s="168"/>
      <c r="I94" s="494"/>
      <c r="J94" s="168"/>
    </row>
    <row r="95" spans="2:10" x14ac:dyDescent="0.2">
      <c r="C95" s="169"/>
      <c r="D95" s="276" t="s">
        <v>27</v>
      </c>
      <c r="E95" s="273" t="s">
        <v>851</v>
      </c>
      <c r="F95" s="279" t="s">
        <v>78</v>
      </c>
      <c r="G95" s="3"/>
      <c r="H95" s="3"/>
      <c r="I95" s="168"/>
      <c r="J95" s="168"/>
    </row>
    <row r="96" spans="2:10" x14ac:dyDescent="0.2">
      <c r="B96" s="736" t="s">
        <v>5</v>
      </c>
      <c r="C96" s="176" t="s">
        <v>28</v>
      </c>
      <c r="D96" s="277">
        <v>21</v>
      </c>
      <c r="E96" s="174">
        <v>17</v>
      </c>
      <c r="F96" s="280">
        <f t="shared" ref="F96:F97" si="3">SUM(D96:E96)</f>
        <v>38</v>
      </c>
      <c r="G96" s="168"/>
      <c r="H96" s="236"/>
      <c r="I96" s="236"/>
      <c r="J96" s="168"/>
    </row>
    <row r="97" spans="2:10" ht="16" thickBot="1" x14ac:dyDescent="0.25">
      <c r="B97" s="736"/>
      <c r="C97" s="177" t="s">
        <v>29</v>
      </c>
      <c r="D97" s="278">
        <v>7</v>
      </c>
      <c r="E97" s="175">
        <v>17</v>
      </c>
      <c r="F97" s="280">
        <f t="shared" si="3"/>
        <v>24</v>
      </c>
      <c r="G97" s="168"/>
      <c r="H97" s="236"/>
      <c r="I97" s="236"/>
      <c r="J97" s="168"/>
    </row>
    <row r="98" spans="2:10" x14ac:dyDescent="0.2">
      <c r="B98" s="736" t="s">
        <v>915</v>
      </c>
      <c r="C98" s="176" t="s">
        <v>28</v>
      </c>
      <c r="D98" s="277">
        <v>22</v>
      </c>
      <c r="E98" s="174">
        <v>18</v>
      </c>
      <c r="F98" s="280">
        <f t="shared" ref="F98:F103" si="4">SUM(D98:E98)</f>
        <v>40</v>
      </c>
      <c r="G98" s="168"/>
      <c r="H98" s="236"/>
      <c r="I98" s="236"/>
      <c r="J98" s="168"/>
    </row>
    <row r="99" spans="2:10" ht="16" thickBot="1" x14ac:dyDescent="0.25">
      <c r="B99" s="736"/>
      <c r="C99" s="177" t="s">
        <v>29</v>
      </c>
      <c r="D99" s="278">
        <v>6</v>
      </c>
      <c r="E99" s="175">
        <v>16</v>
      </c>
      <c r="F99" s="280">
        <f t="shared" si="4"/>
        <v>22</v>
      </c>
      <c r="G99" s="168"/>
      <c r="H99" s="236"/>
      <c r="I99" s="236"/>
      <c r="J99" s="168"/>
    </row>
    <row r="100" spans="2:10" x14ac:dyDescent="0.2">
      <c r="B100" s="736" t="s">
        <v>912</v>
      </c>
      <c r="C100" s="176" t="s">
        <v>28</v>
      </c>
      <c r="D100" s="277">
        <v>23</v>
      </c>
      <c r="E100" s="174">
        <v>17</v>
      </c>
      <c r="F100" s="280">
        <f t="shared" si="4"/>
        <v>40</v>
      </c>
      <c r="G100" s="168"/>
      <c r="H100" s="236"/>
      <c r="I100" s="236"/>
      <c r="J100" s="168"/>
    </row>
    <row r="101" spans="2:10" ht="16" thickBot="1" x14ac:dyDescent="0.25">
      <c r="B101" s="736"/>
      <c r="C101" s="177" t="s">
        <v>29</v>
      </c>
      <c r="D101" s="278">
        <v>8</v>
      </c>
      <c r="E101" s="175">
        <v>18</v>
      </c>
      <c r="F101" s="280">
        <f t="shared" si="4"/>
        <v>26</v>
      </c>
      <c r="G101" s="168"/>
      <c r="H101" s="236"/>
      <c r="I101" s="236"/>
      <c r="J101" s="168"/>
    </row>
    <row r="102" spans="2:10" x14ac:dyDescent="0.2">
      <c r="B102" s="736" t="s">
        <v>985</v>
      </c>
      <c r="C102" s="176" t="s">
        <v>28</v>
      </c>
      <c r="D102" s="277">
        <v>20</v>
      </c>
      <c r="E102" s="174">
        <v>17</v>
      </c>
      <c r="F102" s="280">
        <f t="shared" si="4"/>
        <v>37</v>
      </c>
      <c r="G102" s="168"/>
      <c r="H102" s="236"/>
      <c r="I102" s="236"/>
      <c r="J102" s="168"/>
    </row>
    <row r="103" spans="2:10" ht="16" thickBot="1" x14ac:dyDescent="0.25">
      <c r="B103" s="736"/>
      <c r="C103" s="177" t="s">
        <v>29</v>
      </c>
      <c r="D103" s="278">
        <v>8</v>
      </c>
      <c r="E103" s="175">
        <v>15</v>
      </c>
      <c r="F103" s="280">
        <f t="shared" si="4"/>
        <v>23</v>
      </c>
      <c r="G103" s="168"/>
      <c r="H103" s="236"/>
      <c r="I103" s="236"/>
      <c r="J103" s="168"/>
    </row>
    <row r="104" spans="2:10" x14ac:dyDescent="0.2">
      <c r="B104" s="736" t="s">
        <v>1169</v>
      </c>
      <c r="C104" s="176" t="s">
        <v>28</v>
      </c>
      <c r="D104" s="514">
        <v>21</v>
      </c>
      <c r="E104" s="515">
        <v>18</v>
      </c>
      <c r="F104" s="280">
        <f t="shared" ref="F104:F105" si="5">SUM(D104:E104)</f>
        <v>39</v>
      </c>
      <c r="G104" s="168"/>
      <c r="H104" s="236"/>
      <c r="I104" s="236"/>
      <c r="J104" s="168"/>
    </row>
    <row r="105" spans="2:10" ht="16" thickBot="1" x14ac:dyDescent="0.25">
      <c r="B105" s="736"/>
      <c r="C105" s="177" t="s">
        <v>29</v>
      </c>
      <c r="D105" s="516">
        <v>5</v>
      </c>
      <c r="E105" s="517">
        <v>13</v>
      </c>
      <c r="F105" s="280">
        <f t="shared" si="5"/>
        <v>18</v>
      </c>
      <c r="G105" s="168"/>
      <c r="H105" s="236"/>
      <c r="I105" s="236"/>
      <c r="J105" s="168"/>
    </row>
    <row r="106" spans="2:10" x14ac:dyDescent="0.2">
      <c r="B106" s="3" t="s">
        <v>1483</v>
      </c>
      <c r="C106" s="168"/>
      <c r="D106" s="168"/>
      <c r="E106" s="168"/>
      <c r="F106" s="168"/>
      <c r="G106" s="168"/>
      <c r="H106" s="168"/>
      <c r="I106" s="169"/>
      <c r="J106" s="168"/>
    </row>
    <row r="107" spans="2:10" x14ac:dyDescent="0.2">
      <c r="B107" s="3" t="s">
        <v>12</v>
      </c>
      <c r="C107" s="168"/>
      <c r="D107" s="168"/>
      <c r="E107" s="168"/>
      <c r="F107" s="168"/>
      <c r="G107" s="168"/>
      <c r="H107" s="168"/>
      <c r="I107" s="168"/>
      <c r="J107" s="168"/>
    </row>
    <row r="108" spans="2:10" x14ac:dyDescent="0.2">
      <c r="B108" s="168"/>
      <c r="C108" s="168"/>
      <c r="D108" s="168"/>
      <c r="E108" s="168"/>
      <c r="F108" s="168"/>
      <c r="G108" s="168"/>
      <c r="H108" s="168"/>
      <c r="I108" s="168"/>
      <c r="J108" s="168"/>
    </row>
    <row r="109" spans="2:10" x14ac:dyDescent="0.2">
      <c r="B109" s="168"/>
      <c r="C109" s="168"/>
      <c r="D109" s="168"/>
      <c r="E109" s="168"/>
      <c r="F109" s="168"/>
      <c r="G109" s="168"/>
      <c r="H109" s="168"/>
      <c r="I109" s="168"/>
      <c r="J109" s="168"/>
    </row>
    <row r="112" spans="2:10" x14ac:dyDescent="0.2">
      <c r="F112" s="503"/>
    </row>
  </sheetData>
  <mergeCells count="63">
    <mergeCell ref="B12:C13"/>
    <mergeCell ref="B14:C14"/>
    <mergeCell ref="B15:C15"/>
    <mergeCell ref="B17:C17"/>
    <mergeCell ref="B23:C24"/>
    <mergeCell ref="B22:H22"/>
    <mergeCell ref="B16:C16"/>
    <mergeCell ref="B48:C48"/>
    <mergeCell ref="B49:C49"/>
    <mergeCell ref="B50:C50"/>
    <mergeCell ref="B51:C51"/>
    <mergeCell ref="D61:H61"/>
    <mergeCell ref="B52:C52"/>
    <mergeCell ref="B35:C35"/>
    <mergeCell ref="B30:C30"/>
    <mergeCell ref="B31:C31"/>
    <mergeCell ref="B32:C32"/>
    <mergeCell ref="B36:C36"/>
    <mergeCell ref="B33:C33"/>
    <mergeCell ref="B34:C34"/>
    <mergeCell ref="B104:B105"/>
    <mergeCell ref="B55:C55"/>
    <mergeCell ref="B60:H60"/>
    <mergeCell ref="B63:C63"/>
    <mergeCell ref="B64:C64"/>
    <mergeCell ref="B65:C65"/>
    <mergeCell ref="B66:C66"/>
    <mergeCell ref="B74:F74"/>
    <mergeCell ref="B77:C77"/>
    <mergeCell ref="B78:C78"/>
    <mergeCell ref="B80:C80"/>
    <mergeCell ref="B75:C76"/>
    <mergeCell ref="B86:C87"/>
    <mergeCell ref="B88:C88"/>
    <mergeCell ref="B89:C89"/>
    <mergeCell ref="B90:C90"/>
    <mergeCell ref="B102:B103"/>
    <mergeCell ref="B53:C53"/>
    <mergeCell ref="B67:C67"/>
    <mergeCell ref="B96:B97"/>
    <mergeCell ref="B98:B99"/>
    <mergeCell ref="B100:B101"/>
    <mergeCell ref="B79:C79"/>
    <mergeCell ref="B69:C69"/>
    <mergeCell ref="B61:C62"/>
    <mergeCell ref="B54:C54"/>
    <mergeCell ref="B68:C68"/>
    <mergeCell ref="B25:C25"/>
    <mergeCell ref="D75:H75"/>
    <mergeCell ref="D86:H86"/>
    <mergeCell ref="D12:H12"/>
    <mergeCell ref="D23:H23"/>
    <mergeCell ref="D42:H42"/>
    <mergeCell ref="B26:C26"/>
    <mergeCell ref="B27:C27"/>
    <mergeCell ref="B28:C28"/>
    <mergeCell ref="B29:C29"/>
    <mergeCell ref="B47:C47"/>
    <mergeCell ref="B42:C43"/>
    <mergeCell ref="B44:C44"/>
    <mergeCell ref="B45:C45"/>
    <mergeCell ref="B46:C46"/>
    <mergeCell ref="B41:H41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AK445"/>
  <sheetViews>
    <sheetView zoomScaleNormal="100" workbookViewId="0">
      <selection activeCell="N347" sqref="N347"/>
    </sheetView>
  </sheetViews>
  <sheetFormatPr baseColWidth="10" defaultColWidth="11.5" defaultRowHeight="15" x14ac:dyDescent="0.2"/>
  <cols>
    <col min="5" max="28" width="11.5" customWidth="1"/>
  </cols>
  <sheetData>
    <row r="7" spans="2:23" ht="18" x14ac:dyDescent="0.2">
      <c r="B7" s="1" t="s">
        <v>0</v>
      </c>
    </row>
    <row r="8" spans="2:23" ht="16" x14ac:dyDescent="0.2">
      <c r="L8" s="643"/>
    </row>
    <row r="9" spans="2:23" ht="18" x14ac:dyDescent="0.2">
      <c r="B9" s="1" t="s">
        <v>669</v>
      </c>
    </row>
    <row r="12" spans="2:23" x14ac:dyDescent="0.2">
      <c r="B12" s="178" t="s">
        <v>814</v>
      </c>
      <c r="C12" s="178"/>
    </row>
    <row r="13" spans="2:23" x14ac:dyDescent="0.2">
      <c r="B13" s="15"/>
      <c r="C13" s="15"/>
    </row>
    <row r="14" spans="2:23" x14ac:dyDescent="0.2">
      <c r="B14" s="5" t="s">
        <v>30</v>
      </c>
      <c r="C14" s="5"/>
      <c r="D14" s="5"/>
      <c r="E14" s="5"/>
      <c r="F14" s="5"/>
      <c r="G14" s="5"/>
      <c r="H14" s="5"/>
      <c r="I14" s="415"/>
      <c r="J14" s="5"/>
      <c r="K14" s="5"/>
      <c r="L14" s="5"/>
      <c r="N14" s="5"/>
      <c r="O14" s="5"/>
      <c r="Q14" s="5"/>
      <c r="R14" s="5"/>
      <c r="S14" s="5"/>
      <c r="T14" s="5"/>
      <c r="U14" s="5"/>
      <c r="V14" s="5"/>
      <c r="W14" s="5"/>
    </row>
    <row r="15" spans="2:23" x14ac:dyDescent="0.2">
      <c r="B15" s="734" t="s">
        <v>2</v>
      </c>
      <c r="C15" s="734"/>
      <c r="D15" s="759" t="s">
        <v>31</v>
      </c>
      <c r="E15" s="759"/>
      <c r="F15" s="759"/>
      <c r="G15" s="26" t="s">
        <v>5</v>
      </c>
      <c r="H15" s="26" t="s">
        <v>6</v>
      </c>
      <c r="I15" s="26" t="s">
        <v>912</v>
      </c>
      <c r="J15" s="26" t="s">
        <v>985</v>
      </c>
      <c r="K15" s="26" t="s">
        <v>1169</v>
      </c>
    </row>
    <row r="16" spans="2:23" ht="13.5" customHeight="1" thickBot="1" x14ac:dyDescent="0.25">
      <c r="B16" s="765" t="s">
        <v>7</v>
      </c>
      <c r="C16" s="765"/>
      <c r="D16" s="773" t="s">
        <v>32</v>
      </c>
      <c r="E16" s="773"/>
      <c r="F16" s="773"/>
      <c r="G16" s="27">
        <v>50</v>
      </c>
      <c r="H16" s="27">
        <v>50</v>
      </c>
      <c r="I16" s="27">
        <v>50</v>
      </c>
      <c r="J16" s="27">
        <v>50</v>
      </c>
      <c r="K16" s="27">
        <v>50</v>
      </c>
      <c r="P16" s="172"/>
    </row>
    <row r="17" spans="2:16" ht="16" thickBot="1" x14ac:dyDescent="0.25">
      <c r="B17" s="765"/>
      <c r="C17" s="765"/>
      <c r="D17" s="767" t="s">
        <v>33</v>
      </c>
      <c r="E17" s="767"/>
      <c r="F17" s="767"/>
      <c r="G17" s="25">
        <v>17</v>
      </c>
      <c r="H17" s="25">
        <v>21</v>
      </c>
      <c r="I17" s="25">
        <v>36</v>
      </c>
      <c r="J17" s="25">
        <v>36</v>
      </c>
      <c r="K17" s="25">
        <v>50</v>
      </c>
      <c r="P17" s="172"/>
    </row>
    <row r="18" spans="2:16" ht="16" thickBot="1" x14ac:dyDescent="0.25">
      <c r="B18" s="765"/>
      <c r="C18" s="765"/>
      <c r="D18" s="767" t="s">
        <v>34</v>
      </c>
      <c r="E18" s="767"/>
      <c r="F18" s="767"/>
      <c r="G18" s="25" t="s">
        <v>35</v>
      </c>
      <c r="H18" s="25" t="s">
        <v>36</v>
      </c>
      <c r="I18" s="25" t="s">
        <v>960</v>
      </c>
      <c r="J18" s="25" t="s">
        <v>960</v>
      </c>
      <c r="K18" s="25" t="s">
        <v>1177</v>
      </c>
      <c r="P18" s="172"/>
    </row>
    <row r="19" spans="2:16" ht="16" thickBot="1" x14ac:dyDescent="0.25">
      <c r="B19" s="765"/>
      <c r="C19" s="765"/>
      <c r="D19" s="767" t="s">
        <v>37</v>
      </c>
      <c r="E19" s="767"/>
      <c r="F19" s="767"/>
      <c r="G19" s="25">
        <v>35</v>
      </c>
      <c r="H19" s="25">
        <v>49</v>
      </c>
      <c r="I19" s="25">
        <v>72</v>
      </c>
      <c r="J19" s="518">
        <v>81</v>
      </c>
      <c r="K19" s="25">
        <v>87</v>
      </c>
    </row>
    <row r="20" spans="2:16" ht="16" thickBot="1" x14ac:dyDescent="0.25">
      <c r="B20" s="765"/>
      <c r="C20" s="765"/>
      <c r="D20" s="767" t="s">
        <v>38</v>
      </c>
      <c r="E20" s="767"/>
      <c r="F20" s="767"/>
      <c r="G20" s="25">
        <v>58</v>
      </c>
      <c r="H20" s="25">
        <v>91</v>
      </c>
      <c r="I20" s="25">
        <v>145</v>
      </c>
      <c r="J20" s="518">
        <v>184</v>
      </c>
      <c r="K20" s="25">
        <v>193</v>
      </c>
    </row>
    <row r="21" spans="2:16" ht="16" thickBot="1" x14ac:dyDescent="0.25">
      <c r="B21" s="765"/>
      <c r="C21" s="765"/>
      <c r="D21" s="767" t="s">
        <v>39</v>
      </c>
      <c r="E21" s="767"/>
      <c r="F21" s="767"/>
      <c r="G21" s="25">
        <v>35</v>
      </c>
      <c r="H21" s="25">
        <v>40</v>
      </c>
      <c r="I21" s="25">
        <v>55</v>
      </c>
      <c r="J21" s="518">
        <v>52</v>
      </c>
      <c r="K21" s="25">
        <v>51</v>
      </c>
    </row>
    <row r="22" spans="2:16" ht="16" thickBot="1" x14ac:dyDescent="0.25">
      <c r="B22" s="765"/>
      <c r="C22" s="765"/>
      <c r="D22" s="767" t="s">
        <v>40</v>
      </c>
      <c r="E22" s="767"/>
      <c r="F22" s="767"/>
      <c r="G22" s="25">
        <v>17</v>
      </c>
      <c r="H22" s="25">
        <v>19</v>
      </c>
      <c r="I22" s="25">
        <v>38</v>
      </c>
      <c r="J22" s="518">
        <v>31</v>
      </c>
      <c r="K22" s="25">
        <v>38</v>
      </c>
    </row>
    <row r="23" spans="2:16" ht="16" thickBot="1" x14ac:dyDescent="0.25">
      <c r="B23" s="766"/>
      <c r="C23" s="766"/>
      <c r="D23" s="760" t="s">
        <v>41</v>
      </c>
      <c r="E23" s="760"/>
      <c r="F23" s="760"/>
      <c r="G23" s="179">
        <f>G22/G21</f>
        <v>0.48571428571428571</v>
      </c>
      <c r="H23" s="179">
        <f>H22/H21</f>
        <v>0.47499999999999998</v>
      </c>
      <c r="I23" s="179">
        <f>I22/I21</f>
        <v>0.69090909090909092</v>
      </c>
      <c r="J23" s="179">
        <f>J22/J21</f>
        <v>0.59615384615384615</v>
      </c>
      <c r="K23" s="412">
        <f>K22/K21</f>
        <v>0.74509803921568629</v>
      </c>
    </row>
    <row r="24" spans="2:16" x14ac:dyDescent="0.2">
      <c r="B24" s="19"/>
      <c r="C24" s="17"/>
      <c r="D24" s="18"/>
      <c r="E24" s="18"/>
      <c r="F24" s="18"/>
      <c r="G24" s="18"/>
      <c r="H24" s="18"/>
      <c r="I24" s="18"/>
      <c r="J24" s="18"/>
      <c r="K24" s="18"/>
    </row>
    <row r="25" spans="2:16" x14ac:dyDescent="0.2">
      <c r="B25" s="734" t="s">
        <v>2</v>
      </c>
      <c r="C25" s="734"/>
      <c r="D25" s="759" t="s">
        <v>31</v>
      </c>
      <c r="E25" s="759"/>
      <c r="F25" s="759"/>
      <c r="G25" s="26" t="s">
        <v>5</v>
      </c>
      <c r="H25" s="26" t="s">
        <v>6</v>
      </c>
      <c r="I25" s="26" t="s">
        <v>912</v>
      </c>
      <c r="J25" s="26" t="s">
        <v>985</v>
      </c>
      <c r="K25" s="26" t="s">
        <v>1169</v>
      </c>
    </row>
    <row r="26" spans="2:16" ht="15" customHeight="1" thickBot="1" x14ac:dyDescent="0.25">
      <c r="B26" s="765" t="s">
        <v>8</v>
      </c>
      <c r="C26" s="765"/>
      <c r="D26" s="773" t="s">
        <v>32</v>
      </c>
      <c r="E26" s="773"/>
      <c r="F26" s="773"/>
      <c r="G26" s="27">
        <v>60</v>
      </c>
      <c r="H26" s="27">
        <v>60</v>
      </c>
      <c r="I26" s="27">
        <v>60</v>
      </c>
      <c r="J26" s="513">
        <v>60</v>
      </c>
      <c r="K26" s="27">
        <v>60</v>
      </c>
    </row>
    <row r="27" spans="2:16" ht="16" thickBot="1" x14ac:dyDescent="0.25">
      <c r="B27" s="765"/>
      <c r="C27" s="765"/>
      <c r="D27" s="767" t="s">
        <v>33</v>
      </c>
      <c r="E27" s="767"/>
      <c r="F27" s="767"/>
      <c r="G27" s="25">
        <v>50</v>
      </c>
      <c r="H27" s="25">
        <v>51</v>
      </c>
      <c r="I27" s="25">
        <v>38</v>
      </c>
      <c r="J27" s="518">
        <v>23</v>
      </c>
      <c r="K27" s="25">
        <v>35</v>
      </c>
    </row>
    <row r="28" spans="2:16" ht="15.75" customHeight="1" thickBot="1" x14ac:dyDescent="0.25">
      <c r="B28" s="765"/>
      <c r="C28" s="765"/>
      <c r="D28" s="767" t="s">
        <v>34</v>
      </c>
      <c r="E28" s="767"/>
      <c r="F28" s="767"/>
      <c r="G28" s="25" t="s">
        <v>853</v>
      </c>
      <c r="H28" s="25" t="s">
        <v>854</v>
      </c>
      <c r="I28" s="25" t="s">
        <v>961</v>
      </c>
      <c r="J28" s="518" t="s">
        <v>852</v>
      </c>
      <c r="K28" s="25" t="s">
        <v>1178</v>
      </c>
    </row>
    <row r="29" spans="2:16" ht="16" thickBot="1" x14ac:dyDescent="0.25">
      <c r="B29" s="765"/>
      <c r="C29" s="765"/>
      <c r="D29" s="767" t="s">
        <v>37</v>
      </c>
      <c r="E29" s="767"/>
      <c r="F29" s="767"/>
      <c r="G29" s="25">
        <v>175</v>
      </c>
      <c r="H29" s="25">
        <v>187</v>
      </c>
      <c r="I29" s="25">
        <v>203</v>
      </c>
      <c r="J29" s="518">
        <v>271</v>
      </c>
      <c r="K29" s="25">
        <v>226</v>
      </c>
    </row>
    <row r="30" spans="2:16" ht="16" thickBot="1" x14ac:dyDescent="0.25">
      <c r="B30" s="765"/>
      <c r="C30" s="765"/>
      <c r="D30" s="767" t="s">
        <v>38</v>
      </c>
      <c r="E30" s="767"/>
      <c r="F30" s="767"/>
      <c r="G30" s="25">
        <v>368</v>
      </c>
      <c r="H30" s="25">
        <v>359</v>
      </c>
      <c r="I30" s="25">
        <v>387</v>
      </c>
      <c r="J30" s="518">
        <v>537</v>
      </c>
      <c r="K30" s="25">
        <v>577</v>
      </c>
    </row>
    <row r="31" spans="2:16" ht="16" thickBot="1" x14ac:dyDescent="0.25">
      <c r="B31" s="765"/>
      <c r="C31" s="765"/>
      <c r="D31" s="767" t="s">
        <v>39</v>
      </c>
      <c r="E31" s="767"/>
      <c r="F31" s="767"/>
      <c r="G31" s="25">
        <v>63</v>
      </c>
      <c r="H31" s="25">
        <v>59</v>
      </c>
      <c r="I31" s="25">
        <v>48</v>
      </c>
      <c r="J31" s="518">
        <v>62</v>
      </c>
      <c r="K31" s="25">
        <v>61</v>
      </c>
    </row>
    <row r="32" spans="2:16" ht="16" thickBot="1" x14ac:dyDescent="0.25">
      <c r="B32" s="765"/>
      <c r="C32" s="765"/>
      <c r="D32" s="767" t="s">
        <v>40</v>
      </c>
      <c r="E32" s="767"/>
      <c r="F32" s="767"/>
      <c r="G32" s="25">
        <v>23</v>
      </c>
      <c r="H32" s="25">
        <v>34</v>
      </c>
      <c r="I32" s="25">
        <v>31</v>
      </c>
      <c r="J32" s="518">
        <v>15</v>
      </c>
      <c r="K32" s="25">
        <v>23</v>
      </c>
    </row>
    <row r="33" spans="2:25" ht="16" thickBot="1" x14ac:dyDescent="0.25">
      <c r="B33" s="766"/>
      <c r="C33" s="766"/>
      <c r="D33" s="760" t="s">
        <v>41</v>
      </c>
      <c r="E33" s="760"/>
      <c r="F33" s="760"/>
      <c r="G33" s="179">
        <f>G32/G31</f>
        <v>0.36507936507936506</v>
      </c>
      <c r="H33" s="412">
        <f>H32/H31</f>
        <v>0.57627118644067798</v>
      </c>
      <c r="I33" s="412">
        <f>I32/I31</f>
        <v>0.64583333333333337</v>
      </c>
      <c r="J33" s="519">
        <f>J32/J31</f>
        <v>0.24193548387096775</v>
      </c>
      <c r="K33" s="412">
        <f>K32/K31</f>
        <v>0.37704918032786883</v>
      </c>
    </row>
    <row r="34" spans="2:25" x14ac:dyDescent="0.2">
      <c r="C34" s="21"/>
      <c r="D34" s="22"/>
      <c r="E34" s="22"/>
      <c r="F34" s="22"/>
      <c r="G34" s="22"/>
      <c r="H34" s="22"/>
      <c r="I34" s="22"/>
      <c r="J34" s="22"/>
      <c r="L34" s="20"/>
    </row>
    <row r="35" spans="2:25" x14ac:dyDescent="0.2">
      <c r="B35" s="734" t="s">
        <v>2</v>
      </c>
      <c r="C35" s="734"/>
      <c r="D35" s="759" t="s">
        <v>31</v>
      </c>
      <c r="E35" s="759"/>
      <c r="F35" s="759"/>
      <c r="G35" s="26" t="s">
        <v>912</v>
      </c>
      <c r="H35" s="26" t="s">
        <v>985</v>
      </c>
      <c r="I35" s="26" t="s">
        <v>1169</v>
      </c>
    </row>
    <row r="36" spans="2:25" ht="15" customHeight="1" thickBot="1" x14ac:dyDescent="0.25">
      <c r="B36" s="765" t="s">
        <v>931</v>
      </c>
      <c r="C36" s="765"/>
      <c r="D36" s="773" t="s">
        <v>32</v>
      </c>
      <c r="E36" s="773"/>
      <c r="F36" s="773"/>
      <c r="G36" s="27">
        <v>10</v>
      </c>
      <c r="H36" s="513">
        <v>10</v>
      </c>
      <c r="I36" s="513">
        <v>10</v>
      </c>
    </row>
    <row r="37" spans="2:25" ht="16" thickBot="1" x14ac:dyDescent="0.25">
      <c r="B37" s="765"/>
      <c r="C37" s="765"/>
      <c r="D37" s="767" t="s">
        <v>33</v>
      </c>
      <c r="E37" s="767"/>
      <c r="F37" s="767"/>
      <c r="G37" s="25">
        <v>6</v>
      </c>
      <c r="H37" s="518">
        <v>10</v>
      </c>
      <c r="I37" s="518">
        <v>11</v>
      </c>
    </row>
    <row r="38" spans="2:25" ht="15.75" customHeight="1" thickBot="1" x14ac:dyDescent="0.25">
      <c r="B38" s="765"/>
      <c r="C38" s="765"/>
      <c r="D38" s="767" t="s">
        <v>34</v>
      </c>
      <c r="E38" s="767"/>
      <c r="F38" s="767"/>
      <c r="G38" s="25" t="s">
        <v>962</v>
      </c>
      <c r="H38" s="518" t="s">
        <v>1011</v>
      </c>
      <c r="I38" s="518" t="s">
        <v>1179</v>
      </c>
    </row>
    <row r="39" spans="2:25" ht="16" thickBot="1" x14ac:dyDescent="0.25">
      <c r="B39" s="765"/>
      <c r="C39" s="765"/>
      <c r="D39" s="767" t="s">
        <v>37</v>
      </c>
      <c r="E39" s="767"/>
      <c r="F39" s="767"/>
      <c r="G39" s="25">
        <v>19</v>
      </c>
      <c r="H39" s="518">
        <v>24</v>
      </c>
      <c r="I39" s="518">
        <v>25</v>
      </c>
    </row>
    <row r="40" spans="2:25" ht="16" thickBot="1" x14ac:dyDescent="0.25">
      <c r="B40" s="765"/>
      <c r="C40" s="765"/>
      <c r="D40" s="767" t="s">
        <v>38</v>
      </c>
      <c r="E40" s="767"/>
      <c r="F40" s="767"/>
      <c r="G40" s="25">
        <v>41</v>
      </c>
      <c r="H40" s="518">
        <v>52</v>
      </c>
      <c r="I40" s="518">
        <v>56</v>
      </c>
    </row>
    <row r="41" spans="2:25" ht="16" thickBot="1" x14ac:dyDescent="0.25">
      <c r="B41" s="765"/>
      <c r="C41" s="765"/>
      <c r="D41" s="767" t="s">
        <v>39</v>
      </c>
      <c r="E41" s="767"/>
      <c r="F41" s="767"/>
      <c r="G41" s="25">
        <v>4</v>
      </c>
      <c r="H41" s="518">
        <v>11</v>
      </c>
      <c r="I41" s="518">
        <v>11</v>
      </c>
    </row>
    <row r="42" spans="2:25" ht="16" thickBot="1" x14ac:dyDescent="0.25">
      <c r="B42" s="765"/>
      <c r="C42" s="765"/>
      <c r="D42" s="767" t="s">
        <v>40</v>
      </c>
      <c r="E42" s="767"/>
      <c r="F42" s="767"/>
      <c r="G42" s="25">
        <v>3</v>
      </c>
      <c r="H42" s="518">
        <v>8</v>
      </c>
      <c r="I42" s="25">
        <v>3</v>
      </c>
    </row>
    <row r="43" spans="2:25" ht="16" thickBot="1" x14ac:dyDescent="0.25">
      <c r="B43" s="766"/>
      <c r="C43" s="766"/>
      <c r="D43" s="760" t="s">
        <v>41</v>
      </c>
      <c r="E43" s="760"/>
      <c r="F43" s="760"/>
      <c r="G43" s="179">
        <f>G42/G41</f>
        <v>0.75</v>
      </c>
      <c r="H43" s="519">
        <f>H42/H41</f>
        <v>0.72727272727272729</v>
      </c>
      <c r="I43" s="412">
        <f>I42/I41</f>
        <v>0.27272727272727271</v>
      </c>
    </row>
    <row r="44" spans="2:25" ht="12.75" customHeight="1" x14ac:dyDescent="0.2">
      <c r="B44" s="3" t="s">
        <v>1483</v>
      </c>
      <c r="C44" s="3"/>
    </row>
    <row r="45" spans="2:25" ht="12.75" customHeight="1" x14ac:dyDescent="0.2">
      <c r="B45" s="3" t="s">
        <v>42</v>
      </c>
      <c r="C45" s="3"/>
    </row>
    <row r="47" spans="2:25" x14ac:dyDescent="0.2">
      <c r="B47" s="15"/>
      <c r="C47" s="15"/>
    </row>
    <row r="48" spans="2:25" ht="12.75" customHeight="1" x14ac:dyDescent="0.2">
      <c r="B48" s="644" t="s">
        <v>43</v>
      </c>
      <c r="C48" s="644"/>
      <c r="D48" s="644"/>
      <c r="E48" s="644"/>
      <c r="F48" s="644"/>
      <c r="G48" s="644"/>
      <c r="H48" s="644"/>
      <c r="I48" s="645"/>
      <c r="J48" s="492"/>
      <c r="K48" s="180"/>
      <c r="L48" s="180"/>
      <c r="M48" s="180"/>
      <c r="N48" s="5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</row>
    <row r="49" spans="2:25" x14ac:dyDescent="0.2">
      <c r="B49" s="734" t="s">
        <v>2</v>
      </c>
      <c r="C49" s="734"/>
      <c r="D49" s="759" t="s">
        <v>44</v>
      </c>
      <c r="E49" s="759"/>
      <c r="F49" s="759"/>
      <c r="G49" s="26" t="s">
        <v>5</v>
      </c>
      <c r="H49" s="26" t="s">
        <v>6</v>
      </c>
      <c r="I49" s="26" t="s">
        <v>912</v>
      </c>
      <c r="J49" s="26" t="s">
        <v>985</v>
      </c>
      <c r="K49" s="26" t="s">
        <v>1169</v>
      </c>
      <c r="Q49" s="180"/>
      <c r="R49" s="180"/>
    </row>
    <row r="50" spans="2:25" ht="28.5" customHeight="1" thickBot="1" x14ac:dyDescent="0.25">
      <c r="B50" s="764" t="s">
        <v>7</v>
      </c>
      <c r="C50" s="764"/>
      <c r="D50" s="757" t="s">
        <v>45</v>
      </c>
      <c r="E50" s="757"/>
      <c r="F50" s="757"/>
      <c r="G50" s="181">
        <v>0.6</v>
      </c>
      <c r="H50" s="410">
        <f>23/40</f>
        <v>0.57499999999999996</v>
      </c>
      <c r="I50" s="410">
        <f>24/55</f>
        <v>0.43636363636363634</v>
      </c>
      <c r="J50" s="410">
        <v>0.5</v>
      </c>
      <c r="K50" s="410">
        <f>27/51</f>
        <v>0.52941176470588236</v>
      </c>
      <c r="Q50" s="180"/>
      <c r="R50" s="180"/>
      <c r="S50" s="291"/>
      <c r="T50" s="291"/>
      <c r="U50" s="291"/>
      <c r="V50" s="291"/>
      <c r="W50" s="291"/>
      <c r="X50" s="291"/>
      <c r="Y50" s="291"/>
    </row>
    <row r="51" spans="2:25" ht="18.75" customHeight="1" thickBot="1" x14ac:dyDescent="0.25">
      <c r="B51" s="765"/>
      <c r="C51" s="765"/>
      <c r="D51" s="767" t="s">
        <v>46</v>
      </c>
      <c r="E51" s="767"/>
      <c r="F51" s="767"/>
      <c r="G51" s="182">
        <v>2.86E-2</v>
      </c>
      <c r="H51" s="411">
        <v>0</v>
      </c>
      <c r="I51" s="411">
        <v>0</v>
      </c>
      <c r="J51" s="410">
        <v>1.9230769230769232E-2</v>
      </c>
      <c r="K51" s="411">
        <f>1/51</f>
        <v>1.9607843137254902E-2</v>
      </c>
      <c r="Q51" s="180"/>
      <c r="R51" s="180"/>
      <c r="S51" s="291"/>
      <c r="T51" s="291"/>
      <c r="U51" s="291"/>
      <c r="V51" s="291"/>
      <c r="W51" s="291"/>
      <c r="X51" s="291"/>
      <c r="Y51" s="291"/>
    </row>
    <row r="52" spans="2:25" ht="20.25" customHeight="1" thickBot="1" x14ac:dyDescent="0.25">
      <c r="B52" s="765"/>
      <c r="C52" s="765"/>
      <c r="D52" s="767" t="s">
        <v>47</v>
      </c>
      <c r="E52" s="767"/>
      <c r="F52" s="767"/>
      <c r="G52" s="182">
        <v>0.22850000000000001</v>
      </c>
      <c r="H52" s="411">
        <f>14/40</f>
        <v>0.35</v>
      </c>
      <c r="I52" s="411">
        <f>27/55</f>
        <v>0.49090909090909091</v>
      </c>
      <c r="J52" s="410">
        <v>0.48076923076923078</v>
      </c>
      <c r="K52" s="411">
        <f>23/51</f>
        <v>0.45098039215686275</v>
      </c>
      <c r="Q52" s="180"/>
      <c r="R52" s="180"/>
      <c r="S52" s="2"/>
    </row>
    <row r="53" spans="2:25" ht="21.75" customHeight="1" thickBot="1" x14ac:dyDescent="0.25">
      <c r="B53" s="765"/>
      <c r="C53" s="765"/>
      <c r="D53" s="758" t="s">
        <v>48</v>
      </c>
      <c r="E53" s="758"/>
      <c r="F53" s="758"/>
      <c r="G53" s="182">
        <v>0.1429</v>
      </c>
      <c r="H53" s="411">
        <f>1/40</f>
        <v>2.5000000000000001E-2</v>
      </c>
      <c r="I53" s="411">
        <f>2/55</f>
        <v>3.6363636363636362E-2</v>
      </c>
      <c r="J53" s="410">
        <v>0</v>
      </c>
      <c r="K53" s="410">
        <v>0</v>
      </c>
      <c r="Q53" s="180"/>
      <c r="R53" s="180"/>
      <c r="S53" s="2"/>
    </row>
    <row r="54" spans="2:25" ht="24" customHeight="1" thickBot="1" x14ac:dyDescent="0.25">
      <c r="B54" s="765"/>
      <c r="C54" s="765"/>
      <c r="D54" s="758" t="s">
        <v>49</v>
      </c>
      <c r="E54" s="758"/>
      <c r="F54" s="758"/>
      <c r="G54" s="182">
        <v>0</v>
      </c>
      <c r="H54" s="411">
        <f>2/40</f>
        <v>0.05</v>
      </c>
      <c r="I54" s="411">
        <v>0</v>
      </c>
      <c r="J54" s="410">
        <v>0</v>
      </c>
      <c r="K54" s="410">
        <v>0</v>
      </c>
      <c r="Q54" s="180"/>
      <c r="R54" s="180"/>
      <c r="S54" s="2"/>
    </row>
    <row r="55" spans="2:25" ht="24" customHeight="1" thickBot="1" x14ac:dyDescent="0.25">
      <c r="B55" s="765"/>
      <c r="C55" s="765"/>
      <c r="D55" s="758" t="s">
        <v>50</v>
      </c>
      <c r="E55" s="758"/>
      <c r="F55" s="758"/>
      <c r="G55" s="182">
        <v>0</v>
      </c>
      <c r="H55" s="411">
        <v>0</v>
      </c>
      <c r="I55" s="411">
        <v>0</v>
      </c>
      <c r="J55" s="410">
        <v>0</v>
      </c>
      <c r="K55" s="410">
        <v>0</v>
      </c>
      <c r="Q55" s="180"/>
      <c r="R55" s="180"/>
      <c r="S55" s="414"/>
      <c r="T55" s="291"/>
      <c r="U55" s="291"/>
      <c r="V55" s="291"/>
      <c r="W55" s="291"/>
      <c r="X55" s="291"/>
      <c r="Y55" s="291"/>
    </row>
    <row r="56" spans="2:25" ht="15.75" customHeight="1" thickBot="1" x14ac:dyDescent="0.25">
      <c r="B56" s="766"/>
      <c r="C56" s="766"/>
      <c r="D56" s="788" t="s">
        <v>968</v>
      </c>
      <c r="E56" s="788"/>
      <c r="F56" s="788"/>
      <c r="G56" s="179">
        <v>0</v>
      </c>
      <c r="H56" s="412">
        <v>0</v>
      </c>
      <c r="I56" s="412">
        <f>2/55</f>
        <v>3.6363636363636362E-2</v>
      </c>
      <c r="J56" s="412">
        <v>0</v>
      </c>
      <c r="K56" s="573">
        <v>0</v>
      </c>
      <c r="Q56" s="180"/>
      <c r="R56" s="180"/>
    </row>
    <row r="57" spans="2:25" x14ac:dyDescent="0.2">
      <c r="B57" s="19"/>
      <c r="C57" s="23"/>
      <c r="D57" s="24"/>
      <c r="E57" s="18"/>
      <c r="F57" s="18"/>
      <c r="G57" s="18"/>
      <c r="H57" s="18"/>
      <c r="I57" s="18"/>
      <c r="J57" s="18"/>
      <c r="K57" s="18"/>
      <c r="L57" s="2"/>
      <c r="M57" s="2"/>
      <c r="Q57" s="180"/>
      <c r="R57" s="180"/>
    </row>
    <row r="58" spans="2:25" x14ac:dyDescent="0.2">
      <c r="B58" s="734" t="s">
        <v>2</v>
      </c>
      <c r="C58" s="734"/>
      <c r="D58" s="759" t="s">
        <v>44</v>
      </c>
      <c r="E58" s="759"/>
      <c r="F58" s="759"/>
      <c r="G58" s="170" t="s">
        <v>5</v>
      </c>
      <c r="H58" s="170" t="s">
        <v>6</v>
      </c>
      <c r="I58" s="170" t="s">
        <v>912</v>
      </c>
      <c r="J58" s="170" t="s">
        <v>985</v>
      </c>
      <c r="K58" s="170" t="s">
        <v>1169</v>
      </c>
      <c r="Q58" s="180"/>
      <c r="R58" s="180"/>
    </row>
    <row r="59" spans="2:25" ht="21.75" customHeight="1" thickBot="1" x14ac:dyDescent="0.25">
      <c r="B59" s="764" t="s">
        <v>8</v>
      </c>
      <c r="C59" s="764"/>
      <c r="D59" s="757" t="s">
        <v>45</v>
      </c>
      <c r="E59" s="757"/>
      <c r="F59" s="757"/>
      <c r="G59" s="183">
        <v>0.63492063492063489</v>
      </c>
      <c r="H59" s="183">
        <v>0.77966101694915257</v>
      </c>
      <c r="I59" s="183">
        <f>39/48</f>
        <v>0.8125</v>
      </c>
      <c r="J59" s="410">
        <v>0.88709677419354838</v>
      </c>
      <c r="K59" s="183">
        <f>50/61</f>
        <v>0.81967213114754101</v>
      </c>
      <c r="Q59" s="180"/>
      <c r="R59" s="180"/>
    </row>
    <row r="60" spans="2:25" ht="21.75" customHeight="1" thickBot="1" x14ac:dyDescent="0.25">
      <c r="B60" s="765"/>
      <c r="C60" s="765"/>
      <c r="D60" s="767" t="s">
        <v>46</v>
      </c>
      <c r="E60" s="767"/>
      <c r="F60" s="767"/>
      <c r="G60" s="183">
        <v>4.7619047619047616E-2</v>
      </c>
      <c r="H60" s="183">
        <v>3.3898305084745763E-2</v>
      </c>
      <c r="I60" s="411">
        <v>0</v>
      </c>
      <c r="J60" s="410">
        <v>1.6129032258064516E-2</v>
      </c>
      <c r="K60" s="183">
        <f>1/61</f>
        <v>1.6393442622950821E-2</v>
      </c>
      <c r="Q60" s="180"/>
      <c r="R60" s="180"/>
    </row>
    <row r="61" spans="2:25" ht="21.75" customHeight="1" thickBot="1" x14ac:dyDescent="0.25">
      <c r="B61" s="765"/>
      <c r="C61" s="765"/>
      <c r="D61" s="767" t="s">
        <v>47</v>
      </c>
      <c r="E61" s="767"/>
      <c r="F61" s="767"/>
      <c r="G61" s="183">
        <v>0.17460317460317459</v>
      </c>
      <c r="H61" s="183">
        <v>0.11864406779661017</v>
      </c>
      <c r="I61" s="183">
        <f>7/48</f>
        <v>0.14583333333333334</v>
      </c>
      <c r="J61" s="410">
        <v>6.4516129032258063E-2</v>
      </c>
      <c r="K61" s="183">
        <f>6/61</f>
        <v>9.8360655737704916E-2</v>
      </c>
      <c r="Q61" s="404"/>
    </row>
    <row r="62" spans="2:25" ht="21.75" customHeight="1" thickBot="1" x14ac:dyDescent="0.25">
      <c r="B62" s="765"/>
      <c r="C62" s="765"/>
      <c r="D62" s="758" t="s">
        <v>48</v>
      </c>
      <c r="E62" s="758"/>
      <c r="F62" s="758"/>
      <c r="G62" s="183">
        <v>0.1111111111111111</v>
      </c>
      <c r="H62" s="183">
        <v>3.3898305084745763E-2</v>
      </c>
      <c r="I62" s="183">
        <f>2/48</f>
        <v>4.1666666666666664E-2</v>
      </c>
      <c r="J62" s="410">
        <v>3.2258064516129031E-2</v>
      </c>
      <c r="K62" s="183">
        <f>4/61</f>
        <v>6.5573770491803282E-2</v>
      </c>
      <c r="Q62" s="404"/>
    </row>
    <row r="63" spans="2:25" ht="21.75" customHeight="1" thickBot="1" x14ac:dyDescent="0.25">
      <c r="B63" s="765"/>
      <c r="C63" s="765"/>
      <c r="D63" s="758" t="s">
        <v>49</v>
      </c>
      <c r="E63" s="758"/>
      <c r="F63" s="758"/>
      <c r="G63" s="183">
        <v>1.5873015873015872E-2</v>
      </c>
      <c r="H63" s="183">
        <v>1.6949152542372881E-2</v>
      </c>
      <c r="I63" s="411">
        <v>0</v>
      </c>
      <c r="J63" s="410">
        <v>0</v>
      </c>
      <c r="K63" s="410">
        <v>0</v>
      </c>
      <c r="Q63" s="172"/>
    </row>
    <row r="64" spans="2:25" ht="21.75" customHeight="1" thickBot="1" x14ac:dyDescent="0.25">
      <c r="B64" s="766"/>
      <c r="C64" s="766"/>
      <c r="D64" s="760" t="s">
        <v>50</v>
      </c>
      <c r="E64" s="760"/>
      <c r="F64" s="760"/>
      <c r="G64" s="184">
        <v>1.5873015873015872E-2</v>
      </c>
      <c r="H64" s="184">
        <v>1.6949152542372881E-2</v>
      </c>
      <c r="I64" s="184">
        <v>0</v>
      </c>
      <c r="J64" s="412">
        <v>0</v>
      </c>
      <c r="K64" s="573">
        <v>0</v>
      </c>
      <c r="Q64" s="172"/>
    </row>
    <row r="65" spans="2:27" x14ac:dyDescent="0.2">
      <c r="B65" s="3"/>
      <c r="D65" s="6"/>
      <c r="I65" s="3"/>
      <c r="L65" s="2"/>
      <c r="M65" s="2"/>
      <c r="N65" s="2"/>
      <c r="O65" s="2"/>
      <c r="T65" s="6"/>
      <c r="U65" s="6"/>
      <c r="V65" s="6"/>
      <c r="W65" s="6"/>
      <c r="X65" s="6"/>
      <c r="Y65" s="6"/>
      <c r="Z65" s="6"/>
      <c r="AA65" s="6"/>
    </row>
    <row r="66" spans="2:27" x14ac:dyDescent="0.2">
      <c r="B66" s="734" t="s">
        <v>2</v>
      </c>
      <c r="C66" s="734"/>
      <c r="D66" s="759" t="s">
        <v>44</v>
      </c>
      <c r="E66" s="759"/>
      <c r="F66" s="759"/>
      <c r="G66" s="170" t="s">
        <v>912</v>
      </c>
      <c r="H66" s="26" t="s">
        <v>985</v>
      </c>
      <c r="I66" s="26" t="s">
        <v>1169</v>
      </c>
      <c r="N66" s="2"/>
      <c r="O66" s="2"/>
      <c r="P66" s="2"/>
    </row>
    <row r="67" spans="2:27" ht="21.75" customHeight="1" thickBot="1" x14ac:dyDescent="0.25">
      <c r="B67" s="764" t="s">
        <v>931</v>
      </c>
      <c r="C67" s="764"/>
      <c r="D67" s="757" t="s">
        <v>45</v>
      </c>
      <c r="E67" s="757"/>
      <c r="F67" s="757"/>
      <c r="G67" s="183">
        <f>2/4</f>
        <v>0.5</v>
      </c>
      <c r="H67" s="410">
        <v>0.63636363636363635</v>
      </c>
      <c r="I67" s="410">
        <f>6/11</f>
        <v>0.54545454545454541</v>
      </c>
    </row>
    <row r="68" spans="2:27" ht="21.75" customHeight="1" thickBot="1" x14ac:dyDescent="0.25">
      <c r="B68" s="765"/>
      <c r="C68" s="765"/>
      <c r="D68" s="767" t="s">
        <v>46</v>
      </c>
      <c r="E68" s="767"/>
      <c r="F68" s="767"/>
      <c r="G68" s="411">
        <v>0</v>
      </c>
      <c r="H68" s="410">
        <v>0</v>
      </c>
      <c r="I68" s="410">
        <v>0</v>
      </c>
    </row>
    <row r="69" spans="2:27" ht="21.75" customHeight="1" thickBot="1" x14ac:dyDescent="0.25">
      <c r="B69" s="765"/>
      <c r="C69" s="765"/>
      <c r="D69" s="767" t="s">
        <v>47</v>
      </c>
      <c r="E69" s="767"/>
      <c r="F69" s="767"/>
      <c r="G69" s="411">
        <v>0</v>
      </c>
      <c r="H69" s="410">
        <v>0.36363636363636365</v>
      </c>
      <c r="I69" s="410">
        <f>3/11</f>
        <v>0.27272727272727271</v>
      </c>
    </row>
    <row r="70" spans="2:27" ht="21.75" customHeight="1" thickBot="1" x14ac:dyDescent="0.25">
      <c r="B70" s="765"/>
      <c r="C70" s="765"/>
      <c r="D70" s="758" t="s">
        <v>48</v>
      </c>
      <c r="E70" s="758"/>
      <c r="F70" s="758"/>
      <c r="G70" s="183">
        <f>2/4</f>
        <v>0.5</v>
      </c>
      <c r="H70" s="410">
        <v>0</v>
      </c>
      <c r="I70" s="410">
        <f>1/11</f>
        <v>9.0909090909090912E-2</v>
      </c>
    </row>
    <row r="71" spans="2:27" ht="21.75" customHeight="1" thickBot="1" x14ac:dyDescent="0.25">
      <c r="B71" s="765"/>
      <c r="C71" s="765"/>
      <c r="D71" s="758" t="s">
        <v>49</v>
      </c>
      <c r="E71" s="758"/>
      <c r="F71" s="758"/>
      <c r="G71" s="411">
        <v>0</v>
      </c>
      <c r="H71" s="410">
        <v>0</v>
      </c>
      <c r="I71" s="410">
        <f>1/11</f>
        <v>9.0909090909090912E-2</v>
      </c>
    </row>
    <row r="72" spans="2:27" ht="21.75" customHeight="1" thickBot="1" x14ac:dyDescent="0.25">
      <c r="B72" s="766"/>
      <c r="C72" s="766"/>
      <c r="D72" s="760" t="s">
        <v>50</v>
      </c>
      <c r="E72" s="760"/>
      <c r="F72" s="760"/>
      <c r="G72" s="184">
        <v>0</v>
      </c>
      <c r="H72" s="412">
        <v>0</v>
      </c>
      <c r="I72" s="412">
        <v>0</v>
      </c>
    </row>
    <row r="73" spans="2:27" x14ac:dyDescent="0.2">
      <c r="B73" s="3" t="s">
        <v>1483</v>
      </c>
      <c r="D73" s="6"/>
      <c r="L73" s="2"/>
    </row>
    <row r="74" spans="2:27" x14ac:dyDescent="0.2">
      <c r="B74" s="3" t="s">
        <v>42</v>
      </c>
      <c r="L74" s="2"/>
      <c r="M74" s="2"/>
    </row>
    <row r="75" spans="2:27" x14ac:dyDescent="0.2">
      <c r="B75" s="7"/>
      <c r="D75" s="6"/>
      <c r="L75" s="2"/>
      <c r="M75" s="2"/>
    </row>
    <row r="76" spans="2:27" x14ac:dyDescent="0.2">
      <c r="L76" s="2"/>
      <c r="M76" s="2"/>
    </row>
    <row r="77" spans="2:27" x14ac:dyDescent="0.2">
      <c r="B77" s="5" t="s">
        <v>51</v>
      </c>
      <c r="C77" s="5"/>
      <c r="D77" s="5"/>
      <c r="E77" s="5"/>
      <c r="F77" s="5"/>
      <c r="G77" s="5"/>
      <c r="I77" s="492"/>
      <c r="L77" s="2"/>
      <c r="M77" s="5"/>
    </row>
    <row r="78" spans="2:27" x14ac:dyDescent="0.2">
      <c r="B78" s="734" t="s">
        <v>2</v>
      </c>
      <c r="C78" s="734"/>
      <c r="D78" s="759" t="s">
        <v>44</v>
      </c>
      <c r="E78" s="759"/>
      <c r="F78" s="759"/>
      <c r="G78" s="170" t="s">
        <v>5</v>
      </c>
      <c r="H78" s="170" t="s">
        <v>6</v>
      </c>
      <c r="I78" s="170" t="s">
        <v>912</v>
      </c>
      <c r="J78" s="26" t="s">
        <v>985</v>
      </c>
      <c r="K78" s="170" t="s">
        <v>1169</v>
      </c>
    </row>
    <row r="79" spans="2:27" ht="21.75" customHeight="1" thickBot="1" x14ac:dyDescent="0.25">
      <c r="B79" s="764" t="s">
        <v>7</v>
      </c>
      <c r="C79" s="764"/>
      <c r="D79" s="757" t="s">
        <v>45</v>
      </c>
      <c r="E79" s="757"/>
      <c r="F79" s="757"/>
      <c r="G79" s="185">
        <v>6.23</v>
      </c>
      <c r="H79" s="185">
        <v>6.1</v>
      </c>
      <c r="I79" s="185">
        <v>6.02</v>
      </c>
      <c r="J79" s="27">
        <v>6.22</v>
      </c>
      <c r="K79" s="574">
        <v>6.46</v>
      </c>
    </row>
    <row r="80" spans="2:27" ht="15.75" customHeight="1" thickBot="1" x14ac:dyDescent="0.25">
      <c r="B80" s="765"/>
      <c r="C80" s="765"/>
      <c r="D80" s="767" t="s">
        <v>46</v>
      </c>
      <c r="E80" s="767"/>
      <c r="F80" s="767"/>
      <c r="G80" s="186">
        <v>8.1</v>
      </c>
      <c r="H80" s="186" t="s">
        <v>52</v>
      </c>
      <c r="I80" s="186" t="s">
        <v>52</v>
      </c>
      <c r="J80" s="25">
        <v>6</v>
      </c>
      <c r="K80" s="575">
        <v>6.62</v>
      </c>
      <c r="S80" s="8"/>
      <c r="T80" s="8"/>
      <c r="U80" s="8"/>
      <c r="V80" s="8"/>
      <c r="W80" s="8"/>
      <c r="X80" s="8"/>
    </row>
    <row r="81" spans="2:24" ht="15.75" customHeight="1" thickBot="1" x14ac:dyDescent="0.25">
      <c r="B81" s="765"/>
      <c r="C81" s="765"/>
      <c r="D81" s="767" t="s">
        <v>47</v>
      </c>
      <c r="E81" s="767"/>
      <c r="F81" s="767"/>
      <c r="G81" s="186">
        <v>6.76</v>
      </c>
      <c r="H81" s="186">
        <v>7.22</v>
      </c>
      <c r="I81" s="186">
        <v>6.96</v>
      </c>
      <c r="J81" s="25">
        <v>7.15</v>
      </c>
      <c r="K81" s="575">
        <v>7.08</v>
      </c>
      <c r="S81" s="8"/>
      <c r="T81" s="8"/>
      <c r="U81" s="8"/>
      <c r="V81" s="8"/>
      <c r="W81" s="8"/>
      <c r="X81" s="8"/>
    </row>
    <row r="82" spans="2:24" ht="21.75" customHeight="1" thickBot="1" x14ac:dyDescent="0.25">
      <c r="B82" s="765"/>
      <c r="C82" s="765"/>
      <c r="D82" s="758" t="s">
        <v>48</v>
      </c>
      <c r="E82" s="758"/>
      <c r="F82" s="758"/>
      <c r="G82" s="186">
        <v>6.24</v>
      </c>
      <c r="H82" s="186">
        <v>5.62</v>
      </c>
      <c r="I82" s="186">
        <v>6.45</v>
      </c>
      <c r="J82" s="25" t="s">
        <v>52</v>
      </c>
      <c r="K82" s="575" t="s">
        <v>52</v>
      </c>
      <c r="S82" s="8"/>
      <c r="T82" s="8"/>
      <c r="U82" s="8"/>
      <c r="V82" s="8"/>
      <c r="W82" s="8"/>
      <c r="X82" s="8"/>
    </row>
    <row r="83" spans="2:24" ht="21.75" customHeight="1" thickBot="1" x14ac:dyDescent="0.25">
      <c r="B83" s="765"/>
      <c r="C83" s="765"/>
      <c r="D83" s="758" t="s">
        <v>49</v>
      </c>
      <c r="E83" s="758"/>
      <c r="F83" s="758"/>
      <c r="G83" s="186" t="s">
        <v>52</v>
      </c>
      <c r="H83" s="186">
        <v>7.39</v>
      </c>
      <c r="I83" s="186" t="s">
        <v>52</v>
      </c>
      <c r="J83" s="25" t="s">
        <v>52</v>
      </c>
      <c r="K83" s="575" t="s">
        <v>52</v>
      </c>
      <c r="S83" s="8"/>
      <c r="T83" s="8"/>
      <c r="U83" s="8"/>
      <c r="V83" s="8"/>
      <c r="W83" s="8"/>
      <c r="X83" s="8"/>
    </row>
    <row r="84" spans="2:24" ht="21.75" customHeight="1" thickBot="1" x14ac:dyDescent="0.25">
      <c r="B84" s="765"/>
      <c r="C84" s="765"/>
      <c r="D84" s="758" t="s">
        <v>50</v>
      </c>
      <c r="E84" s="758"/>
      <c r="F84" s="758"/>
      <c r="G84" s="186" t="s">
        <v>52</v>
      </c>
      <c r="H84" s="186" t="s">
        <v>52</v>
      </c>
      <c r="I84" s="186" t="s">
        <v>52</v>
      </c>
      <c r="J84" s="25" t="s">
        <v>52</v>
      </c>
      <c r="K84" s="575" t="s">
        <v>52</v>
      </c>
    </row>
    <row r="85" spans="2:24" ht="21.75" customHeight="1" thickBot="1" x14ac:dyDescent="0.25">
      <c r="B85" s="765"/>
      <c r="C85" s="765"/>
      <c r="D85" s="423" t="s">
        <v>968</v>
      </c>
      <c r="E85" s="423"/>
      <c r="F85" s="423"/>
      <c r="G85" s="424" t="s">
        <v>52</v>
      </c>
      <c r="H85" s="424" t="s">
        <v>52</v>
      </c>
      <c r="I85" s="424">
        <v>5</v>
      </c>
      <c r="J85" s="25" t="s">
        <v>52</v>
      </c>
      <c r="K85" s="576" t="s">
        <v>52</v>
      </c>
    </row>
    <row r="86" spans="2:24" ht="16" thickBot="1" x14ac:dyDescent="0.25">
      <c r="B86" s="765"/>
      <c r="C86" s="765"/>
      <c r="D86" s="761"/>
      <c r="E86" s="761"/>
      <c r="F86" s="761"/>
      <c r="G86" s="281"/>
      <c r="H86" s="281"/>
      <c r="I86" s="281"/>
      <c r="J86" s="281"/>
      <c r="K86" s="281"/>
    </row>
    <row r="87" spans="2:24" ht="15.75" customHeight="1" thickBot="1" x14ac:dyDescent="0.25">
      <c r="B87" s="765"/>
      <c r="C87" s="765"/>
      <c r="D87" s="762" t="s">
        <v>49</v>
      </c>
      <c r="E87" s="762"/>
      <c r="F87" s="762"/>
      <c r="G87" s="186">
        <v>6.83</v>
      </c>
      <c r="H87" s="186">
        <v>6.54</v>
      </c>
      <c r="I87" s="186">
        <v>6.11</v>
      </c>
      <c r="J87" s="186">
        <v>6.46</v>
      </c>
      <c r="K87" s="575">
        <v>6.06</v>
      </c>
    </row>
    <row r="88" spans="2:24" ht="23.25" customHeight="1" thickBot="1" x14ac:dyDescent="0.25">
      <c r="B88" s="766"/>
      <c r="C88" s="766"/>
      <c r="D88" s="760" t="s">
        <v>54</v>
      </c>
      <c r="E88" s="760"/>
      <c r="F88" s="760"/>
      <c r="G88" s="187">
        <v>5</v>
      </c>
      <c r="H88" s="187">
        <v>5</v>
      </c>
      <c r="I88" s="187">
        <v>5.16</v>
      </c>
      <c r="J88" s="577">
        <v>6.52</v>
      </c>
      <c r="K88" s="577">
        <v>6.16</v>
      </c>
    </row>
    <row r="89" spans="2:24" x14ac:dyDescent="0.2">
      <c r="L89" s="2"/>
      <c r="M89" s="2"/>
    </row>
    <row r="90" spans="2:24" x14ac:dyDescent="0.2">
      <c r="B90" s="734" t="s">
        <v>2</v>
      </c>
      <c r="C90" s="734"/>
      <c r="D90" s="759" t="s">
        <v>44</v>
      </c>
      <c r="E90" s="759"/>
      <c r="F90" s="759"/>
      <c r="G90" s="170" t="s">
        <v>5</v>
      </c>
      <c r="H90" s="170" t="s">
        <v>6</v>
      </c>
      <c r="I90" s="170" t="s">
        <v>912</v>
      </c>
      <c r="J90" s="26" t="s">
        <v>985</v>
      </c>
      <c r="K90" s="170" t="s">
        <v>1169</v>
      </c>
    </row>
    <row r="91" spans="2:24" ht="21.75" customHeight="1" thickBot="1" x14ac:dyDescent="0.25">
      <c r="B91" s="764" t="s">
        <v>8</v>
      </c>
      <c r="C91" s="764"/>
      <c r="D91" s="757" t="s">
        <v>45</v>
      </c>
      <c r="E91" s="757"/>
      <c r="F91" s="757"/>
      <c r="G91" s="185">
        <v>6.56</v>
      </c>
      <c r="H91" s="185">
        <v>6.0313043478260866</v>
      </c>
      <c r="I91" s="185">
        <v>6.59</v>
      </c>
      <c r="J91" s="27">
        <v>6.82</v>
      </c>
      <c r="K91" s="574">
        <v>6.63</v>
      </c>
    </row>
    <row r="92" spans="2:24" ht="15.75" customHeight="1" thickBot="1" x14ac:dyDescent="0.25">
      <c r="B92" s="765"/>
      <c r="C92" s="765"/>
      <c r="D92" s="767" t="s">
        <v>46</v>
      </c>
      <c r="E92" s="767"/>
      <c r="F92" s="767"/>
      <c r="G92" s="186">
        <v>7.75</v>
      </c>
      <c r="H92" s="186">
        <v>7.5850000000000009</v>
      </c>
      <c r="I92" s="186" t="s">
        <v>52</v>
      </c>
      <c r="J92" s="25">
        <v>5</v>
      </c>
      <c r="K92" s="186">
        <v>9.27</v>
      </c>
    </row>
    <row r="93" spans="2:24" ht="15.75" customHeight="1" thickBot="1" x14ac:dyDescent="0.25">
      <c r="B93" s="765"/>
      <c r="C93" s="765"/>
      <c r="D93" s="767" t="s">
        <v>47</v>
      </c>
      <c r="E93" s="767"/>
      <c r="F93" s="767"/>
      <c r="G93" s="186">
        <v>7.16</v>
      </c>
      <c r="H93" s="186">
        <v>6.9185714285714282</v>
      </c>
      <c r="I93" s="186">
        <v>6.79</v>
      </c>
      <c r="J93" s="518">
        <v>7.64</v>
      </c>
      <c r="K93" s="575">
        <v>6.74</v>
      </c>
    </row>
    <row r="94" spans="2:24" ht="21.75" customHeight="1" thickBot="1" x14ac:dyDescent="0.25">
      <c r="B94" s="765"/>
      <c r="C94" s="765"/>
      <c r="D94" s="758" t="s">
        <v>48</v>
      </c>
      <c r="E94" s="758"/>
      <c r="F94" s="758"/>
      <c r="G94" s="186">
        <v>5.97</v>
      </c>
      <c r="H94" s="186">
        <v>5.8250000000000002</v>
      </c>
      <c r="I94" s="186">
        <v>6.06</v>
      </c>
      <c r="J94" s="25">
        <v>6.49</v>
      </c>
      <c r="K94" s="575">
        <v>6.79</v>
      </c>
    </row>
    <row r="95" spans="2:24" ht="21.75" customHeight="1" thickBot="1" x14ac:dyDescent="0.25">
      <c r="B95" s="765"/>
      <c r="C95" s="765"/>
      <c r="D95" s="758" t="s">
        <v>49</v>
      </c>
      <c r="E95" s="758"/>
      <c r="F95" s="758"/>
      <c r="G95" s="186">
        <v>6.57</v>
      </c>
      <c r="H95" s="186">
        <v>7.98</v>
      </c>
      <c r="I95" s="186" t="s">
        <v>52</v>
      </c>
      <c r="J95" s="25" t="s">
        <v>52</v>
      </c>
      <c r="K95" s="575"/>
      <c r="P95" s="172"/>
    </row>
    <row r="96" spans="2:24" ht="15.75" customHeight="1" thickBot="1" x14ac:dyDescent="0.25">
      <c r="B96" s="765"/>
      <c r="C96" s="765"/>
      <c r="D96" s="760" t="s">
        <v>50</v>
      </c>
      <c r="E96" s="760"/>
      <c r="F96" s="760"/>
      <c r="G96" s="187">
        <v>5</v>
      </c>
      <c r="H96" s="187">
        <v>8.25</v>
      </c>
      <c r="I96" s="187" t="s">
        <v>52</v>
      </c>
      <c r="J96" s="25" t="s">
        <v>52</v>
      </c>
      <c r="K96" s="577"/>
      <c r="P96" s="172"/>
    </row>
    <row r="97" spans="2:16" ht="16" thickBot="1" x14ac:dyDescent="0.25">
      <c r="B97" s="765"/>
      <c r="C97" s="765"/>
      <c r="D97" s="761"/>
      <c r="E97" s="761"/>
      <c r="F97" s="761"/>
      <c r="G97" s="281"/>
      <c r="H97" s="281"/>
      <c r="I97" s="281"/>
      <c r="J97" s="281"/>
      <c r="K97" s="281"/>
      <c r="P97" s="172"/>
    </row>
    <row r="98" spans="2:16" ht="15.75" customHeight="1" thickBot="1" x14ac:dyDescent="0.25">
      <c r="B98" s="765"/>
      <c r="C98" s="765"/>
      <c r="D98" s="762" t="s">
        <v>53</v>
      </c>
      <c r="E98" s="762"/>
      <c r="F98" s="762"/>
      <c r="G98" s="186">
        <v>6.63</v>
      </c>
      <c r="H98" s="186">
        <v>6.25</v>
      </c>
      <c r="I98" s="186" t="s">
        <v>52</v>
      </c>
      <c r="J98" s="186">
        <v>6.49</v>
      </c>
      <c r="K98" s="575">
        <v>6.7</v>
      </c>
      <c r="P98" s="429"/>
    </row>
    <row r="99" spans="2:16" ht="21.75" customHeight="1" thickBot="1" x14ac:dyDescent="0.25">
      <c r="B99" s="766"/>
      <c r="C99" s="766"/>
      <c r="D99" s="760" t="s">
        <v>54</v>
      </c>
      <c r="E99" s="760"/>
      <c r="F99" s="760"/>
      <c r="G99" s="187">
        <v>5</v>
      </c>
      <c r="H99" s="187">
        <v>5</v>
      </c>
      <c r="I99" s="187">
        <v>6.26</v>
      </c>
      <c r="J99" s="187">
        <v>6.86</v>
      </c>
      <c r="K99" s="577">
        <v>6.7</v>
      </c>
      <c r="P99" s="429"/>
    </row>
    <row r="100" spans="2:16" x14ac:dyDescent="0.2">
      <c r="B100" s="7"/>
      <c r="L100" s="2"/>
      <c r="M100" s="2"/>
    </row>
    <row r="101" spans="2:16" x14ac:dyDescent="0.2">
      <c r="B101" s="734" t="s">
        <v>2</v>
      </c>
      <c r="C101" s="734"/>
      <c r="D101" s="759" t="s">
        <v>44</v>
      </c>
      <c r="E101" s="759"/>
      <c r="F101" s="759"/>
      <c r="G101" s="170" t="s">
        <v>912</v>
      </c>
      <c r="H101" s="26" t="s">
        <v>985</v>
      </c>
      <c r="I101" s="26" t="s">
        <v>1169</v>
      </c>
    </row>
    <row r="102" spans="2:16" ht="21.75" customHeight="1" thickBot="1" x14ac:dyDescent="0.25">
      <c r="B102" s="764" t="s">
        <v>931</v>
      </c>
      <c r="C102" s="764"/>
      <c r="D102" s="757" t="s">
        <v>45</v>
      </c>
      <c r="E102" s="757"/>
      <c r="F102" s="757"/>
      <c r="G102" s="185">
        <v>5.99</v>
      </c>
      <c r="H102" s="513">
        <v>6.66</v>
      </c>
      <c r="I102" s="513">
        <v>5.69</v>
      </c>
    </row>
    <row r="103" spans="2:16" ht="15.75" customHeight="1" thickBot="1" x14ac:dyDescent="0.25">
      <c r="B103" s="765"/>
      <c r="C103" s="765"/>
      <c r="D103" s="767" t="s">
        <v>46</v>
      </c>
      <c r="E103" s="767"/>
      <c r="F103" s="767"/>
      <c r="G103" s="186" t="s">
        <v>52</v>
      </c>
      <c r="H103" s="25"/>
      <c r="I103" s="518">
        <v>5.42</v>
      </c>
    </row>
    <row r="104" spans="2:16" ht="15.75" customHeight="1" thickBot="1" x14ac:dyDescent="0.25">
      <c r="B104" s="765"/>
      <c r="C104" s="765"/>
      <c r="D104" s="767" t="s">
        <v>47</v>
      </c>
      <c r="E104" s="767"/>
      <c r="F104" s="767"/>
      <c r="G104" s="186">
        <v>7.01</v>
      </c>
      <c r="H104" s="25">
        <v>6.66</v>
      </c>
      <c r="I104" s="518"/>
    </row>
    <row r="105" spans="2:16" ht="21.75" customHeight="1" thickBot="1" x14ac:dyDescent="0.25">
      <c r="B105" s="765"/>
      <c r="C105" s="765"/>
      <c r="D105" s="758" t="s">
        <v>48</v>
      </c>
      <c r="E105" s="758"/>
      <c r="F105" s="758"/>
      <c r="G105" s="186" t="s">
        <v>52</v>
      </c>
      <c r="H105" s="25" t="s">
        <v>52</v>
      </c>
      <c r="I105" s="518">
        <v>8.67</v>
      </c>
    </row>
    <row r="106" spans="2:16" ht="21.75" customHeight="1" thickBot="1" x14ac:dyDescent="0.25">
      <c r="B106" s="765"/>
      <c r="C106" s="765"/>
      <c r="D106" s="758" t="s">
        <v>49</v>
      </c>
      <c r="E106" s="758"/>
      <c r="F106" s="758"/>
      <c r="G106" s="186" t="s">
        <v>52</v>
      </c>
      <c r="H106" s="25" t="s">
        <v>52</v>
      </c>
      <c r="I106" s="518">
        <v>7.55</v>
      </c>
    </row>
    <row r="107" spans="2:16" ht="15.75" customHeight="1" thickBot="1" x14ac:dyDescent="0.25">
      <c r="B107" s="765"/>
      <c r="C107" s="765"/>
      <c r="D107" s="760" t="s">
        <v>50</v>
      </c>
      <c r="E107" s="760"/>
      <c r="F107" s="760"/>
      <c r="G107" s="187" t="s">
        <v>52</v>
      </c>
      <c r="H107" s="25" t="s">
        <v>52</v>
      </c>
      <c r="I107" s="518"/>
    </row>
    <row r="108" spans="2:16" ht="16" thickBot="1" x14ac:dyDescent="0.25">
      <c r="B108" s="765"/>
      <c r="C108" s="765"/>
      <c r="D108" s="761"/>
      <c r="E108" s="761"/>
      <c r="F108" s="761"/>
      <c r="G108" s="281"/>
      <c r="H108" s="281"/>
      <c r="I108" s="281"/>
    </row>
    <row r="109" spans="2:16" ht="15.75" customHeight="1" thickBot="1" x14ac:dyDescent="0.25">
      <c r="B109" s="765"/>
      <c r="C109" s="765"/>
      <c r="D109" s="762" t="s">
        <v>53</v>
      </c>
      <c r="E109" s="762"/>
      <c r="F109" s="762"/>
      <c r="G109" s="186">
        <v>6.5</v>
      </c>
      <c r="H109" s="186">
        <v>6.66</v>
      </c>
      <c r="I109" s="575">
        <v>6.06</v>
      </c>
    </row>
    <row r="110" spans="2:16" ht="21.75" customHeight="1" thickBot="1" x14ac:dyDescent="0.25">
      <c r="B110" s="766"/>
      <c r="C110" s="766"/>
      <c r="D110" s="760" t="s">
        <v>54</v>
      </c>
      <c r="E110" s="760"/>
      <c r="F110" s="760"/>
      <c r="G110" s="187">
        <v>5</v>
      </c>
      <c r="H110" s="187">
        <v>5</v>
      </c>
      <c r="I110" s="577">
        <v>5</v>
      </c>
    </row>
    <row r="111" spans="2:16" x14ac:dyDescent="0.2">
      <c r="B111" s="3" t="s">
        <v>1483</v>
      </c>
      <c r="K111" s="2"/>
      <c r="L111" s="2"/>
    </row>
    <row r="112" spans="2:16" x14ac:dyDescent="0.2">
      <c r="B112" s="3" t="s">
        <v>42</v>
      </c>
      <c r="L112" s="2"/>
      <c r="M112" s="2"/>
    </row>
    <row r="113" spans="2:19" x14ac:dyDescent="0.2">
      <c r="B113" s="7"/>
      <c r="L113" s="2"/>
      <c r="M113" s="2"/>
    </row>
    <row r="114" spans="2:19" x14ac:dyDescent="0.2">
      <c r="L114" s="2"/>
      <c r="M114" s="2"/>
    </row>
    <row r="115" spans="2:19" x14ac:dyDescent="0.2">
      <c r="B115" s="763" t="s">
        <v>55</v>
      </c>
      <c r="C115" s="763"/>
      <c r="D115" s="763"/>
      <c r="E115" s="763"/>
      <c r="F115" s="763"/>
      <c r="G115" s="763"/>
      <c r="H115" s="763"/>
      <c r="I115" s="763"/>
      <c r="J115" s="763"/>
      <c r="K115" s="763"/>
      <c r="L115" s="492"/>
      <c r="M115" s="2"/>
    </row>
    <row r="116" spans="2:19" ht="15.75" customHeight="1" x14ac:dyDescent="0.2">
      <c r="B116" s="734" t="s">
        <v>2</v>
      </c>
      <c r="C116" s="734"/>
      <c r="D116" s="759" t="s">
        <v>56</v>
      </c>
      <c r="E116" s="759"/>
      <c r="F116" s="759"/>
      <c r="G116" s="170" t="s">
        <v>5</v>
      </c>
      <c r="H116" s="170" t="s">
        <v>6</v>
      </c>
      <c r="I116" s="170" t="s">
        <v>912</v>
      </c>
      <c r="J116" s="26" t="s">
        <v>985</v>
      </c>
      <c r="K116" s="170" t="s">
        <v>1169</v>
      </c>
    </row>
    <row r="117" spans="2:19" ht="21" customHeight="1" thickBot="1" x14ac:dyDescent="0.25">
      <c r="B117" s="764" t="s">
        <v>7</v>
      </c>
      <c r="C117" s="764"/>
      <c r="D117" s="757" t="s">
        <v>57</v>
      </c>
      <c r="E117" s="757"/>
      <c r="F117" s="757"/>
      <c r="G117" s="27">
        <v>1</v>
      </c>
      <c r="H117" s="27">
        <v>2</v>
      </c>
      <c r="I117" s="27">
        <v>0</v>
      </c>
      <c r="J117" s="513">
        <v>0</v>
      </c>
      <c r="K117" s="513">
        <v>0</v>
      </c>
      <c r="R117" s="646"/>
      <c r="S117" s="646"/>
    </row>
    <row r="118" spans="2:19" ht="28.5" customHeight="1" thickBot="1" x14ac:dyDescent="0.25">
      <c r="B118" s="765"/>
      <c r="C118" s="765"/>
      <c r="D118" s="758" t="s">
        <v>58</v>
      </c>
      <c r="E118" s="758"/>
      <c r="F118" s="758"/>
      <c r="G118" s="25">
        <v>1</v>
      </c>
      <c r="H118" s="188">
        <v>10</v>
      </c>
      <c r="I118" s="188">
        <v>10</v>
      </c>
      <c r="J118" s="578">
        <v>18</v>
      </c>
      <c r="K118" s="518">
        <v>16</v>
      </c>
      <c r="R118" s="646"/>
      <c r="S118" s="646"/>
    </row>
    <row r="119" spans="2:19" ht="22.5" customHeight="1" thickBot="1" x14ac:dyDescent="0.25">
      <c r="B119" s="766"/>
      <c r="C119" s="766"/>
      <c r="D119" s="769" t="s">
        <v>59</v>
      </c>
      <c r="E119" s="769"/>
      <c r="F119" s="769"/>
      <c r="G119" s="28">
        <v>33</v>
      </c>
      <c r="H119" s="189">
        <v>28</v>
      </c>
      <c r="I119" s="189">
        <v>45</v>
      </c>
      <c r="J119" s="579">
        <v>34</v>
      </c>
      <c r="K119" s="580">
        <v>35</v>
      </c>
      <c r="R119" s="646"/>
      <c r="S119" s="646"/>
    </row>
    <row r="120" spans="2:19" x14ac:dyDescent="0.2">
      <c r="B120" s="19"/>
      <c r="C120" s="29"/>
      <c r="D120" s="30"/>
      <c r="E120" s="30"/>
      <c r="F120" s="30"/>
      <c r="G120" s="30"/>
      <c r="H120" s="30"/>
      <c r="I120" s="30"/>
      <c r="J120" s="30"/>
      <c r="K120" s="30"/>
      <c r="L120" s="2"/>
      <c r="M120" s="2"/>
    </row>
    <row r="121" spans="2:19" x14ac:dyDescent="0.2">
      <c r="B121" s="734" t="s">
        <v>2</v>
      </c>
      <c r="C121" s="734"/>
      <c r="D121" s="759" t="s">
        <v>56</v>
      </c>
      <c r="E121" s="759"/>
      <c r="F121" s="759"/>
      <c r="G121" s="170" t="s">
        <v>5</v>
      </c>
      <c r="H121" s="170" t="s">
        <v>6</v>
      </c>
      <c r="I121" s="170" t="s">
        <v>912</v>
      </c>
      <c r="J121" s="26" t="s">
        <v>985</v>
      </c>
      <c r="K121" s="170" t="s">
        <v>1169</v>
      </c>
    </row>
    <row r="122" spans="2:19" ht="21.75" customHeight="1" thickBot="1" x14ac:dyDescent="0.25">
      <c r="B122" s="764" t="s">
        <v>8</v>
      </c>
      <c r="C122" s="764"/>
      <c r="D122" s="757" t="s">
        <v>57</v>
      </c>
      <c r="E122" s="757"/>
      <c r="F122" s="757"/>
      <c r="G122" s="27">
        <v>0</v>
      </c>
      <c r="H122" s="27">
        <v>0</v>
      </c>
      <c r="I122" s="27">
        <v>0</v>
      </c>
      <c r="J122" s="27">
        <v>0</v>
      </c>
      <c r="K122" s="513">
        <v>0</v>
      </c>
      <c r="R122" s="646"/>
      <c r="S122" s="646"/>
    </row>
    <row r="123" spans="2:19" ht="21.75" customHeight="1" thickBot="1" x14ac:dyDescent="0.25">
      <c r="B123" s="765"/>
      <c r="C123" s="765"/>
      <c r="D123" s="758" t="s">
        <v>58</v>
      </c>
      <c r="E123" s="758"/>
      <c r="F123" s="758"/>
      <c r="G123" s="25">
        <v>6</v>
      </c>
      <c r="H123" s="188">
        <v>3</v>
      </c>
      <c r="I123" s="188">
        <v>1</v>
      </c>
      <c r="J123" s="188">
        <v>5</v>
      </c>
      <c r="K123" s="518">
        <v>0</v>
      </c>
      <c r="R123" s="646"/>
      <c r="S123" s="646"/>
    </row>
    <row r="124" spans="2:19" ht="21.75" customHeight="1" thickBot="1" x14ac:dyDescent="0.25">
      <c r="B124" s="766"/>
      <c r="C124" s="766"/>
      <c r="D124" s="769" t="s">
        <v>59</v>
      </c>
      <c r="E124" s="769"/>
      <c r="F124" s="769"/>
      <c r="G124" s="28">
        <v>57</v>
      </c>
      <c r="H124" s="189">
        <v>56</v>
      </c>
      <c r="I124" s="189">
        <v>47</v>
      </c>
      <c r="J124" s="189">
        <v>57</v>
      </c>
      <c r="K124" s="580">
        <v>61</v>
      </c>
      <c r="P124" s="172"/>
      <c r="R124" s="646"/>
      <c r="S124" s="646"/>
    </row>
    <row r="125" spans="2:19" x14ac:dyDescent="0.2">
      <c r="B125" s="294"/>
      <c r="C125" s="294"/>
      <c r="D125" s="295"/>
      <c r="E125" s="295"/>
      <c r="F125" s="295"/>
      <c r="G125" s="172"/>
      <c r="H125" s="172"/>
      <c r="I125" s="172"/>
      <c r="J125" s="172"/>
      <c r="K125" s="172"/>
      <c r="N125" s="172"/>
    </row>
    <row r="126" spans="2:19" x14ac:dyDescent="0.2">
      <c r="B126" s="734" t="s">
        <v>2</v>
      </c>
      <c r="C126" s="734"/>
      <c r="D126" s="759" t="s">
        <v>56</v>
      </c>
      <c r="E126" s="759"/>
      <c r="F126" s="759"/>
      <c r="G126" s="170" t="s">
        <v>912</v>
      </c>
      <c r="H126" s="26" t="s">
        <v>985</v>
      </c>
      <c r="I126" s="26" t="s">
        <v>1169</v>
      </c>
    </row>
    <row r="127" spans="2:19" ht="21.75" customHeight="1" thickBot="1" x14ac:dyDescent="0.25">
      <c r="B127" s="764" t="s">
        <v>931</v>
      </c>
      <c r="C127" s="764"/>
      <c r="D127" s="757" t="s">
        <v>57</v>
      </c>
      <c r="E127" s="757"/>
      <c r="F127" s="757"/>
      <c r="G127" s="27">
        <v>0</v>
      </c>
      <c r="H127" s="27">
        <v>0</v>
      </c>
      <c r="I127" s="513">
        <v>0</v>
      </c>
      <c r="J127" s="646"/>
      <c r="K127" s="646"/>
    </row>
    <row r="128" spans="2:19" ht="21.75" customHeight="1" thickBot="1" x14ac:dyDescent="0.25">
      <c r="B128" s="765"/>
      <c r="C128" s="765"/>
      <c r="D128" s="758" t="s">
        <v>58</v>
      </c>
      <c r="E128" s="758"/>
      <c r="F128" s="758"/>
      <c r="G128" s="188">
        <v>0</v>
      </c>
      <c r="H128" s="188">
        <v>0</v>
      </c>
      <c r="I128" s="578">
        <v>0</v>
      </c>
      <c r="J128" s="646"/>
      <c r="K128" s="646"/>
    </row>
    <row r="129" spans="2:18" ht="21.75" customHeight="1" thickBot="1" x14ac:dyDescent="0.25">
      <c r="B129" s="766"/>
      <c r="C129" s="766"/>
      <c r="D129" s="769" t="s">
        <v>59</v>
      </c>
      <c r="E129" s="769"/>
      <c r="F129" s="769"/>
      <c r="G129" s="189">
        <v>4</v>
      </c>
      <c r="H129" s="189">
        <v>11</v>
      </c>
      <c r="I129" s="579">
        <v>11</v>
      </c>
      <c r="J129" s="646"/>
      <c r="K129" s="646"/>
    </row>
    <row r="130" spans="2:18" ht="15.75" customHeight="1" x14ac:dyDescent="0.2">
      <c r="B130" s="3" t="s">
        <v>1483</v>
      </c>
    </row>
    <row r="131" spans="2:18" x14ac:dyDescent="0.2">
      <c r="B131" s="3" t="s">
        <v>42</v>
      </c>
      <c r="L131" s="2"/>
      <c r="M131" s="2"/>
    </row>
    <row r="132" spans="2:18" x14ac:dyDescent="0.2">
      <c r="B132" s="7"/>
      <c r="L132" s="2"/>
      <c r="M132" s="2"/>
    </row>
    <row r="133" spans="2:18" x14ac:dyDescent="0.2">
      <c r="L133" s="2"/>
      <c r="M133" s="2"/>
    </row>
    <row r="134" spans="2:18" x14ac:dyDescent="0.2">
      <c r="B134" s="647" t="s">
        <v>60</v>
      </c>
      <c r="C134" s="647"/>
      <c r="D134" s="647"/>
      <c r="E134" s="647"/>
      <c r="F134" s="647"/>
      <c r="G134" s="647"/>
      <c r="H134" s="647"/>
      <c r="I134" s="647"/>
      <c r="J134" s="647"/>
      <c r="L134" s="2"/>
      <c r="M134" s="2"/>
    </row>
    <row r="135" spans="2:18" ht="21.75" customHeight="1" x14ac:dyDescent="0.2">
      <c r="B135" s="734" t="s">
        <v>2</v>
      </c>
      <c r="C135" s="734"/>
      <c r="D135" s="734" t="s">
        <v>61</v>
      </c>
      <c r="E135" s="734"/>
      <c r="F135" s="170" t="s">
        <v>5</v>
      </c>
      <c r="G135" s="170" t="s">
        <v>6</v>
      </c>
      <c r="H135" s="170" t="s">
        <v>912</v>
      </c>
      <c r="I135" s="170" t="s">
        <v>985</v>
      </c>
      <c r="J135" s="170" t="s">
        <v>1169</v>
      </c>
    </row>
    <row r="136" spans="2:18" ht="13.5" customHeight="1" thickBot="1" x14ac:dyDescent="0.25">
      <c r="B136" s="765" t="s">
        <v>7</v>
      </c>
      <c r="C136" s="765"/>
      <c r="D136" s="768" t="s">
        <v>62</v>
      </c>
      <c r="E136" s="768"/>
      <c r="F136" s="25">
        <v>15</v>
      </c>
      <c r="G136" s="25">
        <v>14</v>
      </c>
      <c r="H136" s="25">
        <v>19</v>
      </c>
      <c r="I136" s="518">
        <v>11</v>
      </c>
      <c r="J136" s="518">
        <v>10</v>
      </c>
      <c r="Q136" s="646"/>
      <c r="R136" s="646"/>
    </row>
    <row r="137" spans="2:18" ht="16" thickBot="1" x14ac:dyDescent="0.25">
      <c r="B137" s="765"/>
      <c r="C137" s="765"/>
      <c r="D137" s="771" t="s">
        <v>63</v>
      </c>
      <c r="E137" s="771"/>
      <c r="F137" s="25">
        <v>12</v>
      </c>
      <c r="G137" s="25">
        <v>14</v>
      </c>
      <c r="H137" s="25">
        <v>21</v>
      </c>
      <c r="I137" s="518">
        <v>26</v>
      </c>
      <c r="J137" s="518">
        <v>20</v>
      </c>
      <c r="Q137" s="646"/>
      <c r="R137" s="646"/>
    </row>
    <row r="138" spans="2:18" ht="16" thickBot="1" x14ac:dyDescent="0.25">
      <c r="B138" s="765"/>
      <c r="C138" s="765"/>
      <c r="D138" s="771" t="s">
        <v>64</v>
      </c>
      <c r="E138" s="771"/>
      <c r="F138" s="25">
        <v>5</v>
      </c>
      <c r="G138" s="25">
        <v>9</v>
      </c>
      <c r="H138" s="25">
        <v>12</v>
      </c>
      <c r="I138" s="518">
        <v>11</v>
      </c>
      <c r="J138" s="518">
        <v>18</v>
      </c>
      <c r="Q138" s="646"/>
      <c r="R138" s="646"/>
    </row>
    <row r="139" spans="2:18" ht="16" thickBot="1" x14ac:dyDescent="0.25">
      <c r="B139" s="765"/>
      <c r="C139" s="765"/>
      <c r="D139" s="771" t="s">
        <v>65</v>
      </c>
      <c r="E139" s="771"/>
      <c r="F139" s="25">
        <v>2</v>
      </c>
      <c r="G139" s="25">
        <v>3</v>
      </c>
      <c r="H139" s="25">
        <v>3</v>
      </c>
      <c r="I139" s="518">
        <v>4</v>
      </c>
      <c r="J139" s="518">
        <v>3</v>
      </c>
      <c r="Q139" s="646"/>
      <c r="R139" s="646"/>
    </row>
    <row r="140" spans="2:18" ht="16" thickBot="1" x14ac:dyDescent="0.25">
      <c r="B140" s="765"/>
      <c r="C140" s="765"/>
      <c r="D140" s="771" t="s">
        <v>66</v>
      </c>
      <c r="E140" s="771"/>
      <c r="F140" s="25">
        <v>1</v>
      </c>
      <c r="G140" s="25">
        <v>0</v>
      </c>
      <c r="H140" s="25">
        <v>0</v>
      </c>
      <c r="I140" s="518">
        <v>0</v>
      </c>
      <c r="J140" s="518">
        <v>0</v>
      </c>
      <c r="Q140" s="646"/>
      <c r="R140" s="646"/>
    </row>
    <row r="141" spans="2:18" ht="16" thickBot="1" x14ac:dyDescent="0.25">
      <c r="B141" s="766"/>
      <c r="C141" s="766"/>
      <c r="D141" s="772" t="s">
        <v>67</v>
      </c>
      <c r="E141" s="772"/>
      <c r="F141" s="28">
        <v>0</v>
      </c>
      <c r="G141" s="28">
        <v>0</v>
      </c>
      <c r="H141" s="28">
        <v>0</v>
      </c>
      <c r="I141" s="580">
        <v>0</v>
      </c>
      <c r="J141" s="580">
        <v>0</v>
      </c>
      <c r="Q141" s="646"/>
      <c r="R141" s="646"/>
    </row>
    <row r="142" spans="2:18" x14ac:dyDescent="0.2">
      <c r="E142" s="13"/>
      <c r="F142" s="13"/>
      <c r="G142" s="13"/>
      <c r="H142" s="13"/>
      <c r="I142" s="13"/>
      <c r="J142" s="13"/>
      <c r="K142" s="13"/>
      <c r="L142" s="2"/>
      <c r="M142" s="2"/>
      <c r="N142" s="2"/>
    </row>
    <row r="143" spans="2:18" x14ac:dyDescent="0.2">
      <c r="B143" s="734" t="s">
        <v>2</v>
      </c>
      <c r="C143" s="734"/>
      <c r="D143" s="734" t="s">
        <v>61</v>
      </c>
      <c r="E143" s="734"/>
      <c r="F143" s="170" t="s">
        <v>5</v>
      </c>
      <c r="G143" s="170" t="s">
        <v>6</v>
      </c>
      <c r="H143" s="170" t="s">
        <v>912</v>
      </c>
      <c r="I143" s="170" t="s">
        <v>985</v>
      </c>
      <c r="J143" s="170" t="s">
        <v>1169</v>
      </c>
    </row>
    <row r="144" spans="2:18" ht="13.5" customHeight="1" thickBot="1" x14ac:dyDescent="0.25">
      <c r="B144" s="764" t="s">
        <v>8</v>
      </c>
      <c r="C144" s="764"/>
      <c r="D144" s="768" t="s">
        <v>62</v>
      </c>
      <c r="E144" s="768"/>
      <c r="F144" s="25">
        <v>18</v>
      </c>
      <c r="G144" s="25">
        <v>35</v>
      </c>
      <c r="H144" s="25">
        <v>12</v>
      </c>
      <c r="I144" s="518">
        <v>4</v>
      </c>
      <c r="J144" s="518">
        <v>7</v>
      </c>
      <c r="Q144" s="646"/>
      <c r="R144" s="646"/>
    </row>
    <row r="145" spans="2:23" ht="16" thickBot="1" x14ac:dyDescent="0.25">
      <c r="B145" s="765"/>
      <c r="C145" s="765"/>
      <c r="D145" s="771" t="s">
        <v>63</v>
      </c>
      <c r="E145" s="771"/>
      <c r="F145" s="25">
        <v>24</v>
      </c>
      <c r="G145" s="25">
        <v>10</v>
      </c>
      <c r="H145" s="25">
        <v>21</v>
      </c>
      <c r="I145" s="518">
        <v>32</v>
      </c>
      <c r="J145" s="518">
        <v>44</v>
      </c>
      <c r="Q145" s="646"/>
      <c r="R145" s="646"/>
    </row>
    <row r="146" spans="2:23" ht="16" thickBot="1" x14ac:dyDescent="0.25">
      <c r="B146" s="765"/>
      <c r="C146" s="765"/>
      <c r="D146" s="771" t="s">
        <v>64</v>
      </c>
      <c r="E146" s="771"/>
      <c r="F146" s="25">
        <v>15</v>
      </c>
      <c r="G146" s="25">
        <v>10</v>
      </c>
      <c r="H146" s="25">
        <v>11</v>
      </c>
      <c r="I146" s="518">
        <v>26</v>
      </c>
      <c r="J146" s="25">
        <v>8</v>
      </c>
      <c r="Q146" s="646"/>
      <c r="R146" s="646"/>
    </row>
    <row r="147" spans="2:23" ht="16" thickBot="1" x14ac:dyDescent="0.25">
      <c r="B147" s="765"/>
      <c r="C147" s="765"/>
      <c r="D147" s="771" t="s">
        <v>65</v>
      </c>
      <c r="E147" s="771"/>
      <c r="F147" s="25">
        <v>5</v>
      </c>
      <c r="G147" s="25">
        <v>4</v>
      </c>
      <c r="H147" s="25">
        <v>3</v>
      </c>
      <c r="I147" s="518">
        <v>0</v>
      </c>
      <c r="J147" s="518">
        <v>1</v>
      </c>
      <c r="Q147" s="646"/>
      <c r="R147" s="646"/>
    </row>
    <row r="148" spans="2:23" ht="16" thickBot="1" x14ac:dyDescent="0.25">
      <c r="B148" s="765"/>
      <c r="C148" s="765"/>
      <c r="D148" s="771" t="s">
        <v>66</v>
      </c>
      <c r="E148" s="771"/>
      <c r="F148" s="25">
        <v>1</v>
      </c>
      <c r="G148" s="25">
        <v>0</v>
      </c>
      <c r="H148" s="25">
        <v>1</v>
      </c>
      <c r="I148" s="518">
        <v>0</v>
      </c>
      <c r="J148" s="518">
        <v>1</v>
      </c>
      <c r="Q148" s="646"/>
      <c r="R148" s="646"/>
    </row>
    <row r="149" spans="2:23" ht="16" thickBot="1" x14ac:dyDescent="0.25">
      <c r="B149" s="766"/>
      <c r="C149" s="766"/>
      <c r="D149" s="772" t="s">
        <v>67</v>
      </c>
      <c r="E149" s="772"/>
      <c r="F149" s="28">
        <v>0</v>
      </c>
      <c r="G149" s="28">
        <v>0</v>
      </c>
      <c r="H149" s="28">
        <v>0</v>
      </c>
      <c r="I149" s="580">
        <v>0</v>
      </c>
      <c r="J149" s="580">
        <v>0</v>
      </c>
      <c r="Q149" s="646"/>
      <c r="R149" s="646"/>
    </row>
    <row r="150" spans="2:23" x14ac:dyDescent="0.2">
      <c r="B150" s="779"/>
      <c r="C150" s="779"/>
      <c r="W150" s="9"/>
    </row>
    <row r="151" spans="2:23" x14ac:dyDescent="0.2">
      <c r="B151" s="734" t="s">
        <v>2</v>
      </c>
      <c r="C151" s="734"/>
      <c r="D151" s="734" t="s">
        <v>61</v>
      </c>
      <c r="E151" s="734"/>
      <c r="F151" s="170" t="s">
        <v>912</v>
      </c>
      <c r="G151" s="170" t="s">
        <v>985</v>
      </c>
      <c r="H151" s="170" t="s">
        <v>1169</v>
      </c>
    </row>
    <row r="152" spans="2:23" ht="13.5" customHeight="1" thickBot="1" x14ac:dyDescent="0.25">
      <c r="B152" s="764" t="s">
        <v>931</v>
      </c>
      <c r="C152" s="764"/>
      <c r="D152" s="768" t="s">
        <v>62</v>
      </c>
      <c r="E152" s="768"/>
      <c r="F152" s="25">
        <v>2</v>
      </c>
      <c r="G152" s="25">
        <v>3</v>
      </c>
      <c r="H152" s="518">
        <v>7</v>
      </c>
      <c r="K152" s="646"/>
      <c r="L152" s="646"/>
    </row>
    <row r="153" spans="2:23" ht="16" thickBot="1" x14ac:dyDescent="0.25">
      <c r="B153" s="765"/>
      <c r="C153" s="765"/>
      <c r="D153" s="771" t="s">
        <v>63</v>
      </c>
      <c r="E153" s="771"/>
      <c r="F153" s="25">
        <v>1</v>
      </c>
      <c r="G153" s="25">
        <v>3</v>
      </c>
      <c r="H153" s="518">
        <v>2</v>
      </c>
      <c r="K153" s="646"/>
      <c r="L153" s="646"/>
    </row>
    <row r="154" spans="2:23" ht="16" thickBot="1" x14ac:dyDescent="0.25">
      <c r="B154" s="765"/>
      <c r="C154" s="765"/>
      <c r="D154" s="771" t="s">
        <v>64</v>
      </c>
      <c r="E154" s="771"/>
      <c r="F154" s="25">
        <v>0</v>
      </c>
      <c r="G154" s="25">
        <v>5</v>
      </c>
      <c r="H154" s="518">
        <v>2</v>
      </c>
      <c r="K154" s="646"/>
      <c r="L154" s="646"/>
    </row>
    <row r="155" spans="2:23" ht="16" thickBot="1" x14ac:dyDescent="0.25">
      <c r="B155" s="765"/>
      <c r="C155" s="765"/>
      <c r="D155" s="771" t="s">
        <v>65</v>
      </c>
      <c r="E155" s="771"/>
      <c r="F155" s="25">
        <v>1</v>
      </c>
      <c r="G155" s="25">
        <v>0</v>
      </c>
      <c r="H155" s="518">
        <v>0</v>
      </c>
      <c r="K155" s="646"/>
      <c r="L155" s="646"/>
    </row>
    <row r="156" spans="2:23" ht="16" thickBot="1" x14ac:dyDescent="0.25">
      <c r="B156" s="765"/>
      <c r="C156" s="765"/>
      <c r="D156" s="771" t="s">
        <v>66</v>
      </c>
      <c r="E156" s="771"/>
      <c r="F156" s="25">
        <v>0</v>
      </c>
      <c r="G156" s="25">
        <v>0</v>
      </c>
      <c r="H156" s="518">
        <v>0</v>
      </c>
      <c r="K156" s="646"/>
      <c r="L156" s="646"/>
    </row>
    <row r="157" spans="2:23" ht="16" thickBot="1" x14ac:dyDescent="0.25">
      <c r="B157" s="766"/>
      <c r="C157" s="766"/>
      <c r="D157" s="772" t="s">
        <v>67</v>
      </c>
      <c r="E157" s="772"/>
      <c r="F157" s="28">
        <v>0</v>
      </c>
      <c r="G157" s="28">
        <v>0</v>
      </c>
      <c r="H157" s="580">
        <v>0</v>
      </c>
      <c r="K157" s="646"/>
      <c r="L157" s="646"/>
    </row>
    <row r="158" spans="2:23" x14ac:dyDescent="0.2">
      <c r="B158" s="3" t="s">
        <v>1483</v>
      </c>
      <c r="C158" s="3"/>
    </row>
    <row r="159" spans="2:23" x14ac:dyDescent="0.2">
      <c r="B159" s="3" t="s">
        <v>42</v>
      </c>
      <c r="C159" s="3"/>
    </row>
    <row r="160" spans="2:23" x14ac:dyDescent="0.2">
      <c r="B160" s="779"/>
      <c r="C160" s="779"/>
      <c r="W160" s="9"/>
    </row>
    <row r="161" spans="2:25" x14ac:dyDescent="0.2">
      <c r="B161" s="779"/>
      <c r="C161" s="779"/>
      <c r="Y161" s="10"/>
    </row>
    <row r="162" spans="2:25" ht="12.75" customHeight="1" x14ac:dyDescent="0.2">
      <c r="B162" s="647" t="s">
        <v>1012</v>
      </c>
      <c r="C162" s="647"/>
      <c r="G162" t="s">
        <v>930</v>
      </c>
      <c r="W162" s="11"/>
      <c r="X162" s="12"/>
      <c r="Y162" s="13"/>
    </row>
    <row r="163" spans="2:25" x14ac:dyDescent="0.2">
      <c r="B163" s="740" t="s">
        <v>2</v>
      </c>
      <c r="C163" s="740"/>
      <c r="D163" s="740" t="s">
        <v>69</v>
      </c>
      <c r="E163" s="493" t="s">
        <v>39</v>
      </c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W163" s="11"/>
      <c r="X163" s="12"/>
      <c r="Y163" s="13"/>
    </row>
    <row r="164" spans="2:25" x14ac:dyDescent="0.2">
      <c r="B164" s="741"/>
      <c r="C164" s="741"/>
      <c r="D164" s="741"/>
      <c r="E164" s="770" t="s">
        <v>5</v>
      </c>
      <c r="F164" s="770"/>
      <c r="G164" s="770"/>
      <c r="H164" s="747" t="s">
        <v>6</v>
      </c>
      <c r="I164" s="747"/>
      <c r="J164" s="747"/>
      <c r="K164" s="747" t="s">
        <v>912</v>
      </c>
      <c r="L164" s="747"/>
      <c r="M164" s="747"/>
      <c r="N164" s="747" t="s">
        <v>985</v>
      </c>
      <c r="O164" s="747"/>
      <c r="P164" s="747"/>
      <c r="Q164" s="747" t="s">
        <v>1169</v>
      </c>
      <c r="R164" s="747"/>
      <c r="S164" s="747"/>
    </row>
    <row r="165" spans="2:25" ht="15.75" customHeight="1" x14ac:dyDescent="0.2">
      <c r="B165" s="774" t="s">
        <v>7</v>
      </c>
      <c r="C165" s="774"/>
      <c r="D165" s="268"/>
      <c r="E165" s="205" t="s">
        <v>78</v>
      </c>
      <c r="F165" s="205" t="s">
        <v>849</v>
      </c>
      <c r="G165" s="425" t="s">
        <v>850</v>
      </c>
      <c r="H165" s="205" t="s">
        <v>78</v>
      </c>
      <c r="I165" s="205" t="s">
        <v>849</v>
      </c>
      <c r="J165" s="205" t="s">
        <v>850</v>
      </c>
      <c r="K165" s="205" t="s">
        <v>78</v>
      </c>
      <c r="L165" s="205" t="s">
        <v>849</v>
      </c>
      <c r="M165" s="205" t="s">
        <v>850</v>
      </c>
      <c r="N165" s="205" t="s">
        <v>78</v>
      </c>
      <c r="O165" s="205" t="s">
        <v>849</v>
      </c>
      <c r="P165" s="205" t="s">
        <v>850</v>
      </c>
      <c r="Q165" s="205" t="s">
        <v>78</v>
      </c>
      <c r="R165" s="205" t="s">
        <v>849</v>
      </c>
      <c r="S165" s="205" t="s">
        <v>850</v>
      </c>
    </row>
    <row r="166" spans="2:25" ht="13.5" customHeight="1" x14ac:dyDescent="0.2">
      <c r="B166" s="775"/>
      <c r="C166" s="775"/>
      <c r="D166" s="190" t="s">
        <v>71</v>
      </c>
      <c r="E166" s="192">
        <f>SUM(F166:G166)</f>
        <v>12</v>
      </c>
      <c r="F166" s="190">
        <v>3</v>
      </c>
      <c r="G166" s="426">
        <v>9</v>
      </c>
      <c r="H166" s="192">
        <v>12</v>
      </c>
      <c r="I166" s="190">
        <v>3</v>
      </c>
      <c r="J166" s="190">
        <v>9</v>
      </c>
      <c r="K166" s="195">
        <f>SUM(L166:M166)</f>
        <v>17</v>
      </c>
      <c r="L166" s="190">
        <v>3</v>
      </c>
      <c r="M166" s="190">
        <v>14</v>
      </c>
      <c r="N166" s="195">
        <f>SUM(O166:P166)</f>
        <v>18</v>
      </c>
      <c r="O166" s="190">
        <v>2</v>
      </c>
      <c r="P166" s="190">
        <v>16</v>
      </c>
      <c r="Q166" s="192">
        <f>SUM(R166:S166)</f>
        <v>20</v>
      </c>
      <c r="R166" s="190">
        <v>3</v>
      </c>
      <c r="S166" s="190">
        <v>17</v>
      </c>
    </row>
    <row r="167" spans="2:25" x14ac:dyDescent="0.2">
      <c r="B167" s="775"/>
      <c r="C167" s="775"/>
      <c r="D167" s="190">
        <v>19</v>
      </c>
      <c r="E167" s="192">
        <f t="shared" ref="E167:E180" si="0">SUM(F167:G167)</f>
        <v>8</v>
      </c>
      <c r="F167" s="190">
        <v>2</v>
      </c>
      <c r="G167" s="426">
        <v>6</v>
      </c>
      <c r="H167" s="192">
        <v>8</v>
      </c>
      <c r="I167" s="190">
        <v>3</v>
      </c>
      <c r="J167" s="190">
        <v>5</v>
      </c>
      <c r="K167" s="195">
        <f t="shared" ref="K167:K180" si="1">SUM(L167:M167)</f>
        <v>15</v>
      </c>
      <c r="L167" s="190">
        <v>1</v>
      </c>
      <c r="M167" s="190">
        <v>14</v>
      </c>
      <c r="N167" s="195">
        <f t="shared" ref="N167:N180" si="2">SUM(O167:P167)</f>
        <v>14</v>
      </c>
      <c r="O167" s="190">
        <v>2</v>
      </c>
      <c r="P167" s="190">
        <v>12</v>
      </c>
      <c r="Q167" s="192">
        <f t="shared" ref="Q167:Q180" si="3">SUM(R167:S167)</f>
        <v>7</v>
      </c>
      <c r="R167" s="190">
        <v>1</v>
      </c>
      <c r="S167" s="190">
        <v>6</v>
      </c>
    </row>
    <row r="168" spans="2:25" x14ac:dyDescent="0.2">
      <c r="B168" s="775"/>
      <c r="C168" s="775"/>
      <c r="D168" s="190">
        <v>20</v>
      </c>
      <c r="E168" s="192">
        <f t="shared" si="0"/>
        <v>6</v>
      </c>
      <c r="F168" s="190">
        <v>1</v>
      </c>
      <c r="G168" s="426">
        <v>5</v>
      </c>
      <c r="H168" s="192">
        <v>8</v>
      </c>
      <c r="I168" s="190">
        <v>0</v>
      </c>
      <c r="J168" s="190">
        <v>8</v>
      </c>
      <c r="K168" s="195">
        <f t="shared" si="1"/>
        <v>11</v>
      </c>
      <c r="L168" s="190">
        <v>2</v>
      </c>
      <c r="M168" s="190">
        <v>9</v>
      </c>
      <c r="N168" s="195">
        <f t="shared" si="2"/>
        <v>5</v>
      </c>
      <c r="O168" s="190">
        <v>0</v>
      </c>
      <c r="P168" s="190">
        <v>5</v>
      </c>
      <c r="Q168" s="192">
        <f t="shared" si="3"/>
        <v>8</v>
      </c>
      <c r="R168" s="190">
        <v>1</v>
      </c>
      <c r="S168" s="190">
        <v>7</v>
      </c>
    </row>
    <row r="169" spans="2:25" x14ac:dyDescent="0.2">
      <c r="B169" s="775"/>
      <c r="C169" s="775"/>
      <c r="D169" s="190">
        <v>21</v>
      </c>
      <c r="E169" s="192">
        <f t="shared" si="0"/>
        <v>4</v>
      </c>
      <c r="F169" s="190">
        <v>1</v>
      </c>
      <c r="G169" s="426">
        <v>3</v>
      </c>
      <c r="H169" s="192">
        <v>5</v>
      </c>
      <c r="I169" s="190">
        <v>1</v>
      </c>
      <c r="J169" s="190">
        <v>4</v>
      </c>
      <c r="K169" s="195">
        <f t="shared" si="1"/>
        <v>5</v>
      </c>
      <c r="L169" s="190">
        <v>0</v>
      </c>
      <c r="M169" s="190">
        <v>5</v>
      </c>
      <c r="N169" s="195">
        <f t="shared" si="2"/>
        <v>9</v>
      </c>
      <c r="O169" s="190">
        <v>1</v>
      </c>
      <c r="P169" s="190">
        <v>8</v>
      </c>
      <c r="Q169" s="192">
        <f t="shared" si="3"/>
        <v>7</v>
      </c>
      <c r="R169" s="190">
        <v>0</v>
      </c>
      <c r="S169" s="190">
        <v>7</v>
      </c>
    </row>
    <row r="170" spans="2:25" x14ac:dyDescent="0.2">
      <c r="B170" s="775"/>
      <c r="C170" s="775"/>
      <c r="D170" s="190">
        <v>22</v>
      </c>
      <c r="E170" s="192">
        <f t="shared" si="0"/>
        <v>1</v>
      </c>
      <c r="F170" s="190">
        <v>0</v>
      </c>
      <c r="G170" s="426">
        <v>1</v>
      </c>
      <c r="H170" s="192">
        <v>1</v>
      </c>
      <c r="I170" s="190">
        <v>0</v>
      </c>
      <c r="J170" s="190">
        <v>1</v>
      </c>
      <c r="K170" s="195">
        <f t="shared" si="1"/>
        <v>4</v>
      </c>
      <c r="L170" s="190">
        <v>1</v>
      </c>
      <c r="M170" s="190">
        <v>3</v>
      </c>
      <c r="N170" s="195">
        <f t="shared" si="2"/>
        <v>3</v>
      </c>
      <c r="O170" s="190">
        <v>0</v>
      </c>
      <c r="P170" s="190">
        <v>3</v>
      </c>
      <c r="Q170" s="192">
        <f t="shared" si="3"/>
        <v>1</v>
      </c>
      <c r="R170" s="190">
        <v>0</v>
      </c>
      <c r="S170" s="190">
        <v>1</v>
      </c>
    </row>
    <row r="171" spans="2:25" x14ac:dyDescent="0.2">
      <c r="B171" s="775"/>
      <c r="C171" s="775"/>
      <c r="D171" s="190">
        <v>23</v>
      </c>
      <c r="E171" s="192">
        <f t="shared" si="0"/>
        <v>0</v>
      </c>
      <c r="F171" s="190">
        <v>0</v>
      </c>
      <c r="G171" s="426">
        <v>0</v>
      </c>
      <c r="H171" s="192">
        <v>2</v>
      </c>
      <c r="I171" s="190">
        <v>0</v>
      </c>
      <c r="J171" s="190">
        <v>2</v>
      </c>
      <c r="K171" s="195">
        <f t="shared" si="1"/>
        <v>1</v>
      </c>
      <c r="L171" s="190">
        <v>0</v>
      </c>
      <c r="M171" s="190">
        <v>1</v>
      </c>
      <c r="N171" s="195">
        <f t="shared" si="2"/>
        <v>1</v>
      </c>
      <c r="O171" s="190">
        <v>0</v>
      </c>
      <c r="P171" s="190">
        <v>1</v>
      </c>
      <c r="Q171" s="192">
        <f t="shared" si="3"/>
        <v>2</v>
      </c>
      <c r="R171" s="190">
        <v>0</v>
      </c>
      <c r="S171" s="190">
        <v>2</v>
      </c>
    </row>
    <row r="172" spans="2:25" x14ac:dyDescent="0.2">
      <c r="B172" s="775"/>
      <c r="C172" s="775"/>
      <c r="D172" s="190">
        <v>24</v>
      </c>
      <c r="E172" s="192">
        <f t="shared" si="0"/>
        <v>0</v>
      </c>
      <c r="F172" s="190">
        <v>0</v>
      </c>
      <c r="G172" s="426">
        <v>0</v>
      </c>
      <c r="H172" s="192">
        <v>1</v>
      </c>
      <c r="I172" s="190">
        <v>0</v>
      </c>
      <c r="J172" s="190">
        <v>1</v>
      </c>
      <c r="K172" s="195">
        <f t="shared" si="1"/>
        <v>0</v>
      </c>
      <c r="L172" s="190">
        <v>0</v>
      </c>
      <c r="M172" s="190">
        <v>0</v>
      </c>
      <c r="N172" s="195">
        <f t="shared" si="2"/>
        <v>1</v>
      </c>
      <c r="O172" s="190">
        <v>1</v>
      </c>
      <c r="P172" s="190">
        <v>0</v>
      </c>
      <c r="Q172" s="192">
        <f t="shared" si="3"/>
        <v>3</v>
      </c>
      <c r="R172" s="190">
        <v>1</v>
      </c>
      <c r="S172" s="190">
        <v>2</v>
      </c>
    </row>
    <row r="173" spans="2:25" x14ac:dyDescent="0.2">
      <c r="B173" s="775"/>
      <c r="C173" s="775"/>
      <c r="D173" s="190">
        <v>25</v>
      </c>
      <c r="E173" s="192">
        <f t="shared" si="0"/>
        <v>0</v>
      </c>
      <c r="F173" s="190">
        <v>0</v>
      </c>
      <c r="G173" s="426">
        <v>0</v>
      </c>
      <c r="H173" s="192">
        <v>1</v>
      </c>
      <c r="I173" s="190">
        <v>0</v>
      </c>
      <c r="J173" s="190">
        <v>1</v>
      </c>
      <c r="K173" s="195">
        <f t="shared" si="1"/>
        <v>0</v>
      </c>
      <c r="L173" s="190">
        <v>0</v>
      </c>
      <c r="M173" s="190">
        <v>0</v>
      </c>
      <c r="N173" s="195">
        <f t="shared" si="2"/>
        <v>0</v>
      </c>
      <c r="O173" s="190">
        <v>0</v>
      </c>
      <c r="P173" s="190">
        <v>0</v>
      </c>
      <c r="Q173" s="192">
        <f t="shared" si="3"/>
        <v>0</v>
      </c>
      <c r="R173" s="190">
        <v>0</v>
      </c>
      <c r="S173" s="190">
        <v>0</v>
      </c>
    </row>
    <row r="174" spans="2:25" x14ac:dyDescent="0.2">
      <c r="B174" s="775"/>
      <c r="C174" s="775"/>
      <c r="D174" s="190">
        <v>26</v>
      </c>
      <c r="E174" s="192">
        <f t="shared" si="0"/>
        <v>1</v>
      </c>
      <c r="F174" s="190">
        <v>0</v>
      </c>
      <c r="G174" s="426">
        <v>1</v>
      </c>
      <c r="H174" s="192">
        <v>0</v>
      </c>
      <c r="I174" s="190">
        <v>0</v>
      </c>
      <c r="J174" s="190">
        <v>0</v>
      </c>
      <c r="K174" s="195">
        <f t="shared" si="1"/>
        <v>0</v>
      </c>
      <c r="L174" s="190">
        <v>0</v>
      </c>
      <c r="M174" s="190">
        <v>0</v>
      </c>
      <c r="N174" s="195">
        <f t="shared" si="2"/>
        <v>0</v>
      </c>
      <c r="O174" s="190">
        <v>0</v>
      </c>
      <c r="P174" s="190">
        <v>0</v>
      </c>
      <c r="Q174" s="192">
        <f t="shared" si="3"/>
        <v>1</v>
      </c>
      <c r="R174" s="190">
        <v>0</v>
      </c>
      <c r="S174" s="190">
        <v>1</v>
      </c>
    </row>
    <row r="175" spans="2:25" x14ac:dyDescent="0.2">
      <c r="B175" s="775"/>
      <c r="C175" s="775"/>
      <c r="D175" s="190">
        <v>27</v>
      </c>
      <c r="E175" s="192">
        <f t="shared" si="0"/>
        <v>0</v>
      </c>
      <c r="F175" s="190">
        <v>0</v>
      </c>
      <c r="G175" s="426">
        <v>0</v>
      </c>
      <c r="H175" s="192">
        <v>1</v>
      </c>
      <c r="I175" s="190">
        <v>1</v>
      </c>
      <c r="J175" s="190">
        <v>0</v>
      </c>
      <c r="K175" s="195">
        <f t="shared" si="1"/>
        <v>0</v>
      </c>
      <c r="L175" s="190">
        <v>0</v>
      </c>
      <c r="M175" s="190">
        <v>0</v>
      </c>
      <c r="N175" s="195">
        <f t="shared" si="2"/>
        <v>0</v>
      </c>
      <c r="O175" s="190">
        <v>0</v>
      </c>
      <c r="P175" s="190">
        <v>0</v>
      </c>
      <c r="Q175" s="192">
        <f t="shared" si="3"/>
        <v>1</v>
      </c>
      <c r="R175" s="190">
        <v>0</v>
      </c>
      <c r="S175" s="190">
        <v>1</v>
      </c>
    </row>
    <row r="176" spans="2:25" x14ac:dyDescent="0.2">
      <c r="B176" s="775"/>
      <c r="C176" s="775"/>
      <c r="D176" s="190">
        <v>28</v>
      </c>
      <c r="E176" s="192">
        <f t="shared" si="0"/>
        <v>1</v>
      </c>
      <c r="F176" s="190">
        <v>0</v>
      </c>
      <c r="G176" s="426">
        <v>1</v>
      </c>
      <c r="H176" s="192">
        <v>0</v>
      </c>
      <c r="I176" s="190">
        <v>0</v>
      </c>
      <c r="J176" s="190">
        <v>0</v>
      </c>
      <c r="K176" s="195">
        <f t="shared" si="1"/>
        <v>0</v>
      </c>
      <c r="L176" s="190">
        <v>0</v>
      </c>
      <c r="M176" s="190">
        <v>0</v>
      </c>
      <c r="N176" s="195">
        <f t="shared" si="2"/>
        <v>0</v>
      </c>
      <c r="O176" s="190">
        <v>0</v>
      </c>
      <c r="P176" s="190">
        <v>0</v>
      </c>
      <c r="Q176" s="192">
        <f t="shared" si="3"/>
        <v>0</v>
      </c>
      <c r="R176" s="190">
        <v>0</v>
      </c>
      <c r="S176" s="190">
        <v>0</v>
      </c>
    </row>
    <row r="177" spans="2:31" x14ac:dyDescent="0.2">
      <c r="B177" s="775"/>
      <c r="C177" s="775"/>
      <c r="D177" s="190">
        <v>29</v>
      </c>
      <c r="E177" s="192">
        <f t="shared" si="0"/>
        <v>1</v>
      </c>
      <c r="F177" s="190">
        <v>0</v>
      </c>
      <c r="G177" s="426">
        <v>1</v>
      </c>
      <c r="H177" s="192">
        <v>0</v>
      </c>
      <c r="I177" s="190">
        <v>0</v>
      </c>
      <c r="J177" s="190">
        <v>0</v>
      </c>
      <c r="K177" s="195">
        <f t="shared" si="1"/>
        <v>0</v>
      </c>
      <c r="L177" s="190">
        <v>0</v>
      </c>
      <c r="M177" s="190">
        <v>0</v>
      </c>
      <c r="N177" s="195">
        <f t="shared" si="2"/>
        <v>0</v>
      </c>
      <c r="O177" s="190">
        <v>0</v>
      </c>
      <c r="P177" s="190">
        <v>0</v>
      </c>
      <c r="Q177" s="192">
        <f t="shared" si="3"/>
        <v>0</v>
      </c>
      <c r="R177" s="190">
        <v>0</v>
      </c>
      <c r="S177" s="190">
        <v>0</v>
      </c>
    </row>
    <row r="178" spans="2:31" x14ac:dyDescent="0.2">
      <c r="B178" s="775"/>
      <c r="C178" s="775"/>
      <c r="D178" s="190" t="s">
        <v>72</v>
      </c>
      <c r="E178" s="192">
        <f t="shared" si="0"/>
        <v>1</v>
      </c>
      <c r="F178" s="190">
        <v>1</v>
      </c>
      <c r="G178" s="426">
        <v>0</v>
      </c>
      <c r="H178" s="192">
        <v>1</v>
      </c>
      <c r="I178" s="190">
        <v>0</v>
      </c>
      <c r="J178" s="190">
        <v>1</v>
      </c>
      <c r="K178" s="195">
        <f t="shared" si="1"/>
        <v>0</v>
      </c>
      <c r="L178" s="190">
        <v>0</v>
      </c>
      <c r="M178" s="190">
        <v>0</v>
      </c>
      <c r="N178" s="195">
        <f t="shared" si="2"/>
        <v>0</v>
      </c>
      <c r="O178" s="190">
        <v>0</v>
      </c>
      <c r="P178" s="190">
        <v>0</v>
      </c>
      <c r="Q178" s="192">
        <f t="shared" si="3"/>
        <v>1</v>
      </c>
      <c r="R178" s="190">
        <v>0</v>
      </c>
      <c r="S178" s="190">
        <v>1</v>
      </c>
    </row>
    <row r="179" spans="2:31" x14ac:dyDescent="0.2">
      <c r="B179" s="777"/>
      <c r="C179" s="777"/>
      <c r="D179" s="190" t="s">
        <v>73</v>
      </c>
      <c r="E179" s="192">
        <f t="shared" si="0"/>
        <v>0</v>
      </c>
      <c r="F179" s="190">
        <v>0</v>
      </c>
      <c r="G179" s="426">
        <v>0</v>
      </c>
      <c r="H179" s="192">
        <v>0</v>
      </c>
      <c r="I179" s="190">
        <v>0</v>
      </c>
      <c r="J179" s="190">
        <v>0</v>
      </c>
      <c r="K179" s="195">
        <f t="shared" si="1"/>
        <v>0</v>
      </c>
      <c r="L179" s="190">
        <v>0</v>
      </c>
      <c r="M179" s="190">
        <v>0</v>
      </c>
      <c r="N179" s="195">
        <f t="shared" si="2"/>
        <v>0</v>
      </c>
      <c r="O179" s="190">
        <v>0</v>
      </c>
      <c r="P179" s="190">
        <v>0</v>
      </c>
      <c r="Q179" s="192">
        <f t="shared" si="3"/>
        <v>0</v>
      </c>
      <c r="R179" s="190">
        <v>0</v>
      </c>
      <c r="S179" s="190">
        <v>0</v>
      </c>
    </row>
    <row r="180" spans="2:31" x14ac:dyDescent="0.2">
      <c r="B180" s="777"/>
      <c r="C180" s="777"/>
      <c r="D180" s="200" t="s">
        <v>74</v>
      </c>
      <c r="E180" s="204">
        <f t="shared" si="0"/>
        <v>0</v>
      </c>
      <c r="F180" s="200">
        <v>0</v>
      </c>
      <c r="G180" s="427">
        <v>0</v>
      </c>
      <c r="H180" s="204">
        <v>0</v>
      </c>
      <c r="I180" s="200">
        <v>0</v>
      </c>
      <c r="J180" s="203">
        <v>0</v>
      </c>
      <c r="K180" s="195">
        <f t="shared" si="1"/>
        <v>2</v>
      </c>
      <c r="L180" s="200">
        <v>0</v>
      </c>
      <c r="M180" s="200">
        <v>2</v>
      </c>
      <c r="N180" s="195">
        <f t="shared" si="2"/>
        <v>1</v>
      </c>
      <c r="O180" s="200">
        <v>0</v>
      </c>
      <c r="P180" s="200">
        <v>1</v>
      </c>
      <c r="Q180" s="204">
        <f t="shared" si="3"/>
        <v>0</v>
      </c>
      <c r="R180" s="200">
        <v>0</v>
      </c>
      <c r="S180" s="200">
        <v>0</v>
      </c>
    </row>
    <row r="181" spans="2:31" ht="16" thickBot="1" x14ac:dyDescent="0.25">
      <c r="B181" s="778"/>
      <c r="C181" s="778"/>
      <c r="D181" s="196" t="s">
        <v>70</v>
      </c>
      <c r="E181" s="197">
        <f>SUM(F181+G181)</f>
        <v>35</v>
      </c>
      <c r="F181" s="198">
        <f>SUM(F166:F180)</f>
        <v>8</v>
      </c>
      <c r="G181" s="428">
        <f>SUM(G166:G180)</f>
        <v>27</v>
      </c>
      <c r="H181" s="197">
        <f>SUM(I181+J181)</f>
        <v>40</v>
      </c>
      <c r="I181" s="198">
        <f>SUM(I166:I180)</f>
        <v>8</v>
      </c>
      <c r="J181" s="199">
        <f>SUM(J166:J180)</f>
        <v>32</v>
      </c>
      <c r="K181" s="197">
        <f>SUM(L181+M181)</f>
        <v>55</v>
      </c>
      <c r="L181" s="198">
        <f>SUM(L166:L180)</f>
        <v>7</v>
      </c>
      <c r="M181" s="199">
        <f>SUM(M166:M180)</f>
        <v>48</v>
      </c>
      <c r="N181" s="197">
        <f>SUM(O181+P181)</f>
        <v>52</v>
      </c>
      <c r="O181" s="198">
        <f>SUM(O166:O180)</f>
        <v>6</v>
      </c>
      <c r="P181" s="199">
        <f>SUM(P166:P180)</f>
        <v>46</v>
      </c>
      <c r="Q181" s="197">
        <f>SUM(Q166:Q180)</f>
        <v>51</v>
      </c>
      <c r="R181" s="198">
        <f>SUM(R166:R180)</f>
        <v>6</v>
      </c>
      <c r="S181" s="283">
        <f>SUM(S166:S180)</f>
        <v>45</v>
      </c>
    </row>
    <row r="182" spans="2:31" x14ac:dyDescent="0.2">
      <c r="E182" s="14"/>
      <c r="F182" s="14"/>
      <c r="G182" s="14"/>
      <c r="H182" s="14"/>
      <c r="I182" s="14"/>
      <c r="J182" s="14"/>
      <c r="K182" s="14"/>
      <c r="L182" s="14"/>
      <c r="M182" s="14"/>
      <c r="O182" s="14"/>
      <c r="P182" s="14"/>
      <c r="Q182" s="14"/>
      <c r="R182" s="14"/>
      <c r="S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2:31" x14ac:dyDescent="0.2">
      <c r="B183" s="740" t="s">
        <v>2</v>
      </c>
      <c r="C183" s="740"/>
      <c r="D183" s="740" t="s">
        <v>69</v>
      </c>
      <c r="E183" s="752" t="s">
        <v>39</v>
      </c>
      <c r="F183" s="752"/>
      <c r="G183" s="752"/>
      <c r="H183" s="752"/>
      <c r="I183" s="752"/>
      <c r="J183" s="752"/>
      <c r="K183" s="752"/>
      <c r="L183" s="752"/>
      <c r="M183" s="752"/>
      <c r="N183" s="752"/>
      <c r="O183" s="752"/>
      <c r="P183" s="752"/>
      <c r="Q183" s="752"/>
      <c r="R183" s="752"/>
      <c r="S183" s="752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2:31" x14ac:dyDescent="0.2">
      <c r="B184" s="741"/>
      <c r="C184" s="741"/>
      <c r="D184" s="741"/>
      <c r="E184" s="770" t="s">
        <v>5</v>
      </c>
      <c r="F184" s="770"/>
      <c r="G184" s="770"/>
      <c r="H184" s="747" t="s">
        <v>6</v>
      </c>
      <c r="I184" s="747"/>
      <c r="J184" s="747"/>
      <c r="K184" s="747" t="s">
        <v>912</v>
      </c>
      <c r="L184" s="747"/>
      <c r="M184" s="747"/>
      <c r="N184" s="747" t="s">
        <v>985</v>
      </c>
      <c r="O184" s="747"/>
      <c r="P184" s="747"/>
      <c r="Q184" s="747" t="s">
        <v>1169</v>
      </c>
      <c r="R184" s="747"/>
      <c r="S184" s="747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2:31" ht="15.75" customHeight="1" x14ac:dyDescent="0.2">
      <c r="B185" s="774" t="s">
        <v>8</v>
      </c>
      <c r="C185" s="774"/>
      <c r="D185" s="190"/>
      <c r="E185" s="205" t="s">
        <v>78</v>
      </c>
      <c r="F185" s="205" t="s">
        <v>849</v>
      </c>
      <c r="G185" s="425" t="s">
        <v>850</v>
      </c>
      <c r="H185" s="205" t="s">
        <v>78</v>
      </c>
      <c r="I185" s="205" t="s">
        <v>849</v>
      </c>
      <c r="J185" s="205" t="s">
        <v>850</v>
      </c>
      <c r="K185" s="205" t="s">
        <v>78</v>
      </c>
      <c r="L185" s="205" t="s">
        <v>849</v>
      </c>
      <c r="M185" s="205" t="s">
        <v>850</v>
      </c>
      <c r="N185" s="205" t="s">
        <v>78</v>
      </c>
      <c r="O185" s="205" t="s">
        <v>849</v>
      </c>
      <c r="P185" s="205" t="s">
        <v>850</v>
      </c>
      <c r="Q185" s="205" t="s">
        <v>78</v>
      </c>
      <c r="R185" s="205" t="s">
        <v>849</v>
      </c>
      <c r="S185" s="205" t="s">
        <v>850</v>
      </c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2:31" ht="13.5" customHeight="1" x14ac:dyDescent="0.2">
      <c r="B186" s="775"/>
      <c r="C186" s="775"/>
      <c r="D186" s="190" t="s">
        <v>71</v>
      </c>
      <c r="E186" s="195">
        <v>24</v>
      </c>
      <c r="F186" s="190">
        <v>14</v>
      </c>
      <c r="G186" s="426">
        <v>10</v>
      </c>
      <c r="H186" s="192">
        <v>18</v>
      </c>
      <c r="I186" s="190">
        <v>11</v>
      </c>
      <c r="J186" s="190">
        <v>7</v>
      </c>
      <c r="K186" s="195">
        <f>SUM(L186:M186)</f>
        <v>18</v>
      </c>
      <c r="L186" s="190">
        <v>10</v>
      </c>
      <c r="M186" s="190">
        <v>8</v>
      </c>
      <c r="N186" s="195">
        <f>SUM(O186:P186)</f>
        <v>25</v>
      </c>
      <c r="O186" s="190">
        <v>13</v>
      </c>
      <c r="P186" s="190">
        <v>12</v>
      </c>
      <c r="Q186" s="195">
        <f>SUM(R186:S186)</f>
        <v>26</v>
      </c>
      <c r="R186" s="190">
        <v>13</v>
      </c>
      <c r="S186" s="190">
        <v>13</v>
      </c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2:31" x14ac:dyDescent="0.2">
      <c r="B187" s="775"/>
      <c r="C187" s="775"/>
      <c r="D187" s="190">
        <v>19</v>
      </c>
      <c r="E187" s="195">
        <v>9</v>
      </c>
      <c r="F187" s="190">
        <v>4</v>
      </c>
      <c r="G187" s="426">
        <v>5</v>
      </c>
      <c r="H187" s="192">
        <v>11</v>
      </c>
      <c r="I187" s="190">
        <v>4</v>
      </c>
      <c r="J187" s="190">
        <v>7</v>
      </c>
      <c r="K187" s="195">
        <f t="shared" ref="K187:K200" si="4">SUM(L187:M187)</f>
        <v>11</v>
      </c>
      <c r="L187" s="190">
        <v>5</v>
      </c>
      <c r="M187" s="190">
        <v>6</v>
      </c>
      <c r="N187" s="195">
        <f t="shared" ref="N187:N200" si="5">SUM(O187:P187)</f>
        <v>15</v>
      </c>
      <c r="O187" s="190">
        <v>12</v>
      </c>
      <c r="P187" s="190">
        <v>3</v>
      </c>
      <c r="Q187" s="195">
        <f t="shared" ref="Q187:Q200" si="6">SUM(R187:S187)</f>
        <v>17</v>
      </c>
      <c r="R187" s="190">
        <v>7</v>
      </c>
      <c r="S187" s="190">
        <v>10</v>
      </c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2:31" x14ac:dyDescent="0.2">
      <c r="B188" s="775"/>
      <c r="C188" s="775"/>
      <c r="D188" s="190">
        <v>20</v>
      </c>
      <c r="E188" s="195">
        <v>10</v>
      </c>
      <c r="F188" s="190">
        <v>4</v>
      </c>
      <c r="G188" s="426">
        <v>6</v>
      </c>
      <c r="H188" s="192">
        <v>9</v>
      </c>
      <c r="I188" s="190">
        <v>4</v>
      </c>
      <c r="J188" s="190">
        <v>5</v>
      </c>
      <c r="K188" s="195">
        <f t="shared" si="4"/>
        <v>10</v>
      </c>
      <c r="L188" s="190">
        <v>4</v>
      </c>
      <c r="M188" s="190">
        <v>6</v>
      </c>
      <c r="N188" s="195">
        <f t="shared" si="5"/>
        <v>9</v>
      </c>
      <c r="O188" s="190">
        <v>5</v>
      </c>
      <c r="P188" s="190">
        <v>4</v>
      </c>
      <c r="Q188" s="195">
        <f t="shared" si="6"/>
        <v>6</v>
      </c>
      <c r="R188" s="190">
        <v>0</v>
      </c>
      <c r="S188" s="190">
        <v>6</v>
      </c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2:31" x14ac:dyDescent="0.2">
      <c r="B189" s="775"/>
      <c r="C189" s="775"/>
      <c r="D189" s="190">
        <v>21</v>
      </c>
      <c r="E189" s="195">
        <v>3</v>
      </c>
      <c r="F189" s="190">
        <v>1</v>
      </c>
      <c r="G189" s="426">
        <v>2</v>
      </c>
      <c r="H189" s="192">
        <v>9</v>
      </c>
      <c r="I189" s="190">
        <v>4</v>
      </c>
      <c r="J189" s="190">
        <v>5</v>
      </c>
      <c r="K189" s="195">
        <f t="shared" si="4"/>
        <v>4</v>
      </c>
      <c r="L189" s="190">
        <v>2</v>
      </c>
      <c r="M189" s="190">
        <v>2</v>
      </c>
      <c r="N189" s="195">
        <f t="shared" si="5"/>
        <v>8</v>
      </c>
      <c r="O189" s="190">
        <v>4</v>
      </c>
      <c r="P189" s="190">
        <v>4</v>
      </c>
      <c r="Q189" s="195">
        <f t="shared" si="6"/>
        <v>5</v>
      </c>
      <c r="R189" s="190">
        <v>1</v>
      </c>
      <c r="S189" s="190">
        <v>4</v>
      </c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2:31" x14ac:dyDescent="0.2">
      <c r="B190" s="775"/>
      <c r="C190" s="775"/>
      <c r="D190" s="190">
        <v>22</v>
      </c>
      <c r="E190" s="195">
        <v>7</v>
      </c>
      <c r="F190" s="190">
        <v>2</v>
      </c>
      <c r="G190" s="426">
        <v>5</v>
      </c>
      <c r="H190" s="192">
        <v>2</v>
      </c>
      <c r="I190" s="190">
        <v>0</v>
      </c>
      <c r="J190" s="190">
        <v>2</v>
      </c>
      <c r="K190" s="195">
        <f t="shared" si="4"/>
        <v>4</v>
      </c>
      <c r="L190" s="190">
        <v>1</v>
      </c>
      <c r="M190" s="190">
        <v>3</v>
      </c>
      <c r="N190" s="195">
        <f t="shared" si="5"/>
        <v>2</v>
      </c>
      <c r="O190" s="190">
        <v>0</v>
      </c>
      <c r="P190" s="190">
        <v>2</v>
      </c>
      <c r="Q190" s="195">
        <f t="shared" si="6"/>
        <v>0</v>
      </c>
      <c r="R190" s="190">
        <v>0</v>
      </c>
      <c r="S190" s="190">
        <v>0</v>
      </c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2:31" x14ac:dyDescent="0.2">
      <c r="B191" s="775"/>
      <c r="C191" s="775"/>
      <c r="D191" s="190">
        <v>23</v>
      </c>
      <c r="E191" s="195">
        <v>4</v>
      </c>
      <c r="F191" s="190">
        <v>1</v>
      </c>
      <c r="G191" s="426">
        <v>3</v>
      </c>
      <c r="H191" s="192">
        <v>2</v>
      </c>
      <c r="I191" s="190">
        <v>2</v>
      </c>
      <c r="J191" s="190">
        <v>0</v>
      </c>
      <c r="K191" s="195">
        <f t="shared" si="4"/>
        <v>1</v>
      </c>
      <c r="L191" s="190">
        <v>0</v>
      </c>
      <c r="M191" s="190">
        <v>1</v>
      </c>
      <c r="N191" s="195">
        <f t="shared" si="5"/>
        <v>0</v>
      </c>
      <c r="O191" s="190">
        <v>0</v>
      </c>
      <c r="P191" s="190">
        <v>0</v>
      </c>
      <c r="Q191" s="195">
        <f t="shared" si="6"/>
        <v>3</v>
      </c>
      <c r="R191" s="190">
        <v>2</v>
      </c>
      <c r="S191" s="190">
        <v>1</v>
      </c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2:31" x14ac:dyDescent="0.2">
      <c r="B192" s="775"/>
      <c r="C192" s="775"/>
      <c r="D192" s="190">
        <v>24</v>
      </c>
      <c r="E192" s="195">
        <v>0</v>
      </c>
      <c r="F192" s="190">
        <v>0</v>
      </c>
      <c r="G192" s="426">
        <v>0</v>
      </c>
      <c r="H192" s="192">
        <v>0</v>
      </c>
      <c r="I192" s="190">
        <v>0</v>
      </c>
      <c r="J192" s="190">
        <v>0</v>
      </c>
      <c r="K192" s="195">
        <f t="shared" si="4"/>
        <v>0</v>
      </c>
      <c r="L192" s="190">
        <v>0</v>
      </c>
      <c r="M192" s="190">
        <v>0</v>
      </c>
      <c r="N192" s="195">
        <f t="shared" si="5"/>
        <v>0</v>
      </c>
      <c r="O192" s="190">
        <v>0</v>
      </c>
      <c r="P192" s="190">
        <v>0</v>
      </c>
      <c r="Q192" s="195">
        <f t="shared" si="6"/>
        <v>0</v>
      </c>
      <c r="R192" s="190">
        <v>0</v>
      </c>
      <c r="S192" s="190">
        <v>0</v>
      </c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2:31" x14ac:dyDescent="0.2">
      <c r="B193" s="775"/>
      <c r="C193" s="775"/>
      <c r="D193" s="190">
        <v>25</v>
      </c>
      <c r="E193" s="195">
        <v>2</v>
      </c>
      <c r="F193" s="190">
        <v>1</v>
      </c>
      <c r="G193" s="426">
        <v>1</v>
      </c>
      <c r="H193" s="192">
        <v>0</v>
      </c>
      <c r="I193" s="190">
        <v>0</v>
      </c>
      <c r="J193" s="190">
        <v>0</v>
      </c>
      <c r="K193" s="195">
        <f t="shared" si="4"/>
        <v>0</v>
      </c>
      <c r="L193" s="190">
        <v>0</v>
      </c>
      <c r="M193" s="190">
        <v>0</v>
      </c>
      <c r="N193" s="195">
        <f t="shared" si="5"/>
        <v>0</v>
      </c>
      <c r="O193" s="190">
        <v>0</v>
      </c>
      <c r="P193" s="190">
        <v>0</v>
      </c>
      <c r="Q193" s="195">
        <f t="shared" si="6"/>
        <v>0</v>
      </c>
      <c r="R193" s="190">
        <v>0</v>
      </c>
      <c r="S193" s="190">
        <v>0</v>
      </c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2:31" x14ac:dyDescent="0.2">
      <c r="B194" s="775"/>
      <c r="C194" s="775"/>
      <c r="D194" s="190">
        <v>26</v>
      </c>
      <c r="E194" s="195">
        <v>0</v>
      </c>
      <c r="F194" s="190">
        <v>0</v>
      </c>
      <c r="G194" s="426">
        <v>0</v>
      </c>
      <c r="H194" s="192">
        <v>1</v>
      </c>
      <c r="I194" s="190">
        <v>1</v>
      </c>
      <c r="J194" s="190">
        <v>0</v>
      </c>
      <c r="K194" s="195">
        <f t="shared" si="4"/>
        <v>0</v>
      </c>
      <c r="L194" s="190">
        <v>0</v>
      </c>
      <c r="M194" s="190">
        <v>0</v>
      </c>
      <c r="N194" s="195">
        <f t="shared" si="5"/>
        <v>1</v>
      </c>
      <c r="O194" s="190">
        <v>0</v>
      </c>
      <c r="P194" s="190">
        <v>1</v>
      </c>
      <c r="Q194" s="195">
        <f t="shared" si="6"/>
        <v>0</v>
      </c>
      <c r="R194" s="190">
        <v>0</v>
      </c>
      <c r="S194" s="190">
        <v>0</v>
      </c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spans="2:31" x14ac:dyDescent="0.2">
      <c r="B195" s="775"/>
      <c r="C195" s="775"/>
      <c r="D195" s="190">
        <v>27</v>
      </c>
      <c r="E195" s="195">
        <v>0</v>
      </c>
      <c r="F195" s="190">
        <v>0</v>
      </c>
      <c r="G195" s="426">
        <v>0</v>
      </c>
      <c r="H195" s="192">
        <v>1</v>
      </c>
      <c r="I195" s="190">
        <v>0</v>
      </c>
      <c r="J195" s="190">
        <v>1</v>
      </c>
      <c r="K195" s="195">
        <f t="shared" si="4"/>
        <v>0</v>
      </c>
      <c r="L195" s="190">
        <v>0</v>
      </c>
      <c r="M195" s="190">
        <v>0</v>
      </c>
      <c r="N195" s="195">
        <f t="shared" si="5"/>
        <v>0</v>
      </c>
      <c r="O195" s="190">
        <v>0</v>
      </c>
      <c r="P195" s="190">
        <v>0</v>
      </c>
      <c r="Q195" s="195">
        <f t="shared" si="6"/>
        <v>2</v>
      </c>
      <c r="R195" s="190">
        <v>0</v>
      </c>
      <c r="S195" s="190">
        <v>2</v>
      </c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2:31" x14ac:dyDescent="0.2">
      <c r="B196" s="775"/>
      <c r="C196" s="775"/>
      <c r="D196" s="190">
        <v>28</v>
      </c>
      <c r="E196" s="195">
        <v>0</v>
      </c>
      <c r="F196" s="190">
        <v>0</v>
      </c>
      <c r="G196" s="426">
        <v>0</v>
      </c>
      <c r="H196" s="192">
        <v>2</v>
      </c>
      <c r="I196" s="190">
        <v>0</v>
      </c>
      <c r="J196" s="190">
        <v>2</v>
      </c>
      <c r="K196" s="195">
        <f t="shared" si="4"/>
        <v>0</v>
      </c>
      <c r="L196" s="190">
        <v>0</v>
      </c>
      <c r="M196" s="190">
        <v>0</v>
      </c>
      <c r="N196" s="195">
        <f t="shared" si="5"/>
        <v>0</v>
      </c>
      <c r="O196" s="190">
        <v>0</v>
      </c>
      <c r="P196" s="190">
        <v>0</v>
      </c>
      <c r="Q196" s="195">
        <f t="shared" si="6"/>
        <v>1</v>
      </c>
      <c r="R196" s="190">
        <v>0</v>
      </c>
      <c r="S196" s="190">
        <v>1</v>
      </c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2:31" x14ac:dyDescent="0.2">
      <c r="B197" s="775"/>
      <c r="C197" s="775"/>
      <c r="D197" s="190">
        <v>29</v>
      </c>
      <c r="E197" s="195">
        <v>0</v>
      </c>
      <c r="F197" s="190">
        <v>0</v>
      </c>
      <c r="G197" s="426">
        <v>0</v>
      </c>
      <c r="H197" s="192">
        <v>0</v>
      </c>
      <c r="I197" s="190">
        <v>0</v>
      </c>
      <c r="J197" s="190">
        <v>0</v>
      </c>
      <c r="K197" s="195">
        <f t="shared" si="4"/>
        <v>0</v>
      </c>
      <c r="L197" s="190">
        <v>0</v>
      </c>
      <c r="M197" s="190">
        <v>0</v>
      </c>
      <c r="N197" s="195">
        <f t="shared" si="5"/>
        <v>0</v>
      </c>
      <c r="O197" s="190">
        <v>0</v>
      </c>
      <c r="P197" s="190">
        <v>0</v>
      </c>
      <c r="Q197" s="195">
        <f t="shared" si="6"/>
        <v>1</v>
      </c>
      <c r="R197" s="190">
        <v>1</v>
      </c>
      <c r="S197" s="190">
        <v>0</v>
      </c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2:31" x14ac:dyDescent="0.2">
      <c r="B198" s="775"/>
      <c r="C198" s="775"/>
      <c r="D198" s="190" t="s">
        <v>72</v>
      </c>
      <c r="E198" s="195">
        <v>1</v>
      </c>
      <c r="F198" s="190">
        <v>1</v>
      </c>
      <c r="G198" s="426">
        <v>0</v>
      </c>
      <c r="H198" s="192">
        <v>2</v>
      </c>
      <c r="I198" s="190">
        <v>1</v>
      </c>
      <c r="J198" s="190">
        <v>1</v>
      </c>
      <c r="K198" s="195">
        <f t="shared" si="4"/>
        <v>0</v>
      </c>
      <c r="L198" s="190">
        <v>0</v>
      </c>
      <c r="M198" s="190">
        <v>0</v>
      </c>
      <c r="N198" s="195">
        <f t="shared" si="5"/>
        <v>1</v>
      </c>
      <c r="O198" s="190">
        <v>0</v>
      </c>
      <c r="P198" s="190">
        <v>1</v>
      </c>
      <c r="Q198" s="195">
        <f t="shared" si="6"/>
        <v>0</v>
      </c>
      <c r="R198" s="190">
        <v>0</v>
      </c>
      <c r="S198" s="190">
        <v>0</v>
      </c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2:31" x14ac:dyDescent="0.2">
      <c r="B199" s="775"/>
      <c r="C199" s="775"/>
      <c r="D199" s="190" t="s">
        <v>73</v>
      </c>
      <c r="E199" s="195">
        <v>2</v>
      </c>
      <c r="F199" s="190">
        <v>1</v>
      </c>
      <c r="G199" s="426">
        <v>1</v>
      </c>
      <c r="H199" s="192">
        <v>1</v>
      </c>
      <c r="I199" s="190">
        <v>1</v>
      </c>
      <c r="J199" s="190">
        <v>0</v>
      </c>
      <c r="K199" s="195">
        <f t="shared" si="4"/>
        <v>0</v>
      </c>
      <c r="L199" s="190">
        <v>0</v>
      </c>
      <c r="M199" s="190">
        <v>0</v>
      </c>
      <c r="N199" s="195">
        <f t="shared" si="5"/>
        <v>1</v>
      </c>
      <c r="O199" s="190">
        <v>0</v>
      </c>
      <c r="P199" s="190">
        <v>1</v>
      </c>
      <c r="Q199" s="195">
        <f t="shared" si="6"/>
        <v>0</v>
      </c>
      <c r="R199" s="190">
        <v>0</v>
      </c>
      <c r="S199" s="190">
        <v>0</v>
      </c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2:31" x14ac:dyDescent="0.2">
      <c r="B200" s="775"/>
      <c r="C200" s="775"/>
      <c r="D200" s="200" t="s">
        <v>74</v>
      </c>
      <c r="E200" s="202">
        <v>1</v>
      </c>
      <c r="F200" s="200">
        <v>0</v>
      </c>
      <c r="G200" s="427">
        <v>1</v>
      </c>
      <c r="H200" s="204">
        <v>1</v>
      </c>
      <c r="I200" s="200">
        <v>1</v>
      </c>
      <c r="J200" s="203">
        <v>0</v>
      </c>
      <c r="K200" s="195">
        <f t="shared" si="4"/>
        <v>0</v>
      </c>
      <c r="L200" s="200">
        <v>0</v>
      </c>
      <c r="M200" s="200">
        <v>0</v>
      </c>
      <c r="N200" s="195">
        <f t="shared" si="5"/>
        <v>0</v>
      </c>
      <c r="O200" s="200">
        <v>0</v>
      </c>
      <c r="P200" s="203">
        <v>0</v>
      </c>
      <c r="Q200" s="202">
        <f t="shared" si="6"/>
        <v>0</v>
      </c>
      <c r="R200" s="200">
        <v>0</v>
      </c>
      <c r="S200" s="200">
        <v>0</v>
      </c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2:31" ht="16" thickBot="1" x14ac:dyDescent="0.25">
      <c r="B201" s="776"/>
      <c r="C201" s="776"/>
      <c r="D201" s="196" t="s">
        <v>70</v>
      </c>
      <c r="E201" s="197">
        <f>SUM(F201+G201)</f>
        <v>63</v>
      </c>
      <c r="F201" s="198">
        <f>SUM(F186:F200)</f>
        <v>29</v>
      </c>
      <c r="G201" s="428">
        <f>SUM(G186:G200)</f>
        <v>34</v>
      </c>
      <c r="H201" s="197">
        <f>SUM(I201+J201)</f>
        <v>59</v>
      </c>
      <c r="I201" s="198">
        <f>SUM(I186:I200)</f>
        <v>29</v>
      </c>
      <c r="J201" s="199">
        <f>SUM(J186:J200)</f>
        <v>30</v>
      </c>
      <c r="K201" s="197">
        <f>SUM(L201+M201)</f>
        <v>48</v>
      </c>
      <c r="L201" s="198">
        <f>SUM(L186:L200)</f>
        <v>22</v>
      </c>
      <c r="M201" s="199">
        <f>SUM(M186:M200)</f>
        <v>26</v>
      </c>
      <c r="N201" s="197">
        <f>SUM(O201+P201)</f>
        <v>62</v>
      </c>
      <c r="O201" s="198">
        <f>SUM(O186:O200)</f>
        <v>34</v>
      </c>
      <c r="P201" s="199">
        <f>SUM(P186:P200)</f>
        <v>28</v>
      </c>
      <c r="Q201" s="197">
        <f>SUM(R201+S201)</f>
        <v>61</v>
      </c>
      <c r="R201" s="615">
        <f>SUM(R186:R200)</f>
        <v>24</v>
      </c>
      <c r="S201" s="283">
        <f>SUM(S186:S200)</f>
        <v>37</v>
      </c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2:31" x14ac:dyDescent="0.2">
      <c r="C202" s="20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648"/>
      <c r="S202" s="648"/>
      <c r="T202" s="14"/>
      <c r="U202" s="14"/>
      <c r="V202" s="14"/>
      <c r="W202" s="14"/>
      <c r="X202" s="14"/>
      <c r="Y202" s="14"/>
      <c r="Z202" s="14"/>
      <c r="AA202" s="14"/>
      <c r="AB202" s="14"/>
      <c r="AD202" s="14"/>
      <c r="AE202" s="14"/>
    </row>
    <row r="203" spans="2:31" x14ac:dyDescent="0.2">
      <c r="B203" s="740" t="s">
        <v>2</v>
      </c>
      <c r="C203" s="740"/>
      <c r="D203" s="740" t="s">
        <v>69</v>
      </c>
      <c r="E203" s="752" t="s">
        <v>39</v>
      </c>
      <c r="F203" s="752"/>
      <c r="G203" s="752"/>
      <c r="H203" s="752"/>
      <c r="I203" s="752"/>
      <c r="J203" s="752"/>
      <c r="K203" s="752"/>
      <c r="L203" s="752"/>
      <c r="M203" s="752"/>
    </row>
    <row r="204" spans="2:31" x14ac:dyDescent="0.2">
      <c r="B204" s="741"/>
      <c r="C204" s="741"/>
      <c r="D204" s="741"/>
      <c r="E204" s="747" t="s">
        <v>917</v>
      </c>
      <c r="F204" s="747"/>
      <c r="G204" s="747"/>
      <c r="H204" s="747" t="s">
        <v>987</v>
      </c>
      <c r="I204" s="747"/>
      <c r="J204" s="747"/>
      <c r="K204" s="747" t="s">
        <v>1171</v>
      </c>
      <c r="L204" s="747"/>
      <c r="M204" s="747"/>
    </row>
    <row r="205" spans="2:31" ht="15.75" customHeight="1" x14ac:dyDescent="0.2">
      <c r="B205" s="774" t="s">
        <v>931</v>
      </c>
      <c r="C205" s="774"/>
      <c r="D205" s="190"/>
      <c r="E205" s="205" t="s">
        <v>78</v>
      </c>
      <c r="F205" s="205" t="s">
        <v>849</v>
      </c>
      <c r="G205" s="205" t="s">
        <v>850</v>
      </c>
      <c r="H205" s="205" t="s">
        <v>78</v>
      </c>
      <c r="I205" s="205" t="s">
        <v>849</v>
      </c>
      <c r="J205" s="205" t="s">
        <v>850</v>
      </c>
      <c r="K205" s="205" t="s">
        <v>78</v>
      </c>
      <c r="L205" s="205" t="s">
        <v>849</v>
      </c>
      <c r="M205" s="205" t="s">
        <v>850</v>
      </c>
    </row>
    <row r="206" spans="2:31" ht="13.5" customHeight="1" x14ac:dyDescent="0.2">
      <c r="B206" s="775"/>
      <c r="C206" s="775"/>
      <c r="D206" s="190" t="s">
        <v>71</v>
      </c>
      <c r="E206" s="194">
        <f>SUM(F206:G206)</f>
        <v>1</v>
      </c>
      <c r="F206" s="191">
        <v>0</v>
      </c>
      <c r="G206" s="191">
        <v>1</v>
      </c>
      <c r="H206" s="194">
        <f>SUM(I206:J206)</f>
        <v>6</v>
      </c>
      <c r="I206" s="191">
        <v>1</v>
      </c>
      <c r="J206" s="191">
        <v>5</v>
      </c>
      <c r="K206" s="194">
        <v>5</v>
      </c>
      <c r="L206" s="191">
        <v>0</v>
      </c>
      <c r="M206" s="191">
        <v>5</v>
      </c>
    </row>
    <row r="207" spans="2:31" x14ac:dyDescent="0.2">
      <c r="B207" s="775"/>
      <c r="C207" s="775"/>
      <c r="D207" s="190">
        <v>19</v>
      </c>
      <c r="E207" s="194">
        <f t="shared" ref="E207:E220" si="7">SUM(F207:G207)</f>
        <v>1</v>
      </c>
      <c r="F207" s="191">
        <v>0</v>
      </c>
      <c r="G207" s="191">
        <v>1</v>
      </c>
      <c r="H207" s="194">
        <f t="shared" ref="H207:H220" si="8">SUM(I207:J207)</f>
        <v>2</v>
      </c>
      <c r="I207" s="191">
        <v>1</v>
      </c>
      <c r="J207" s="191">
        <v>1</v>
      </c>
      <c r="K207" s="194">
        <v>2</v>
      </c>
      <c r="L207" s="191">
        <v>0</v>
      </c>
      <c r="M207" s="191">
        <v>2</v>
      </c>
    </row>
    <row r="208" spans="2:31" x14ac:dyDescent="0.2">
      <c r="B208" s="775"/>
      <c r="C208" s="775"/>
      <c r="D208" s="190">
        <v>20</v>
      </c>
      <c r="E208" s="194">
        <f t="shared" si="7"/>
        <v>1</v>
      </c>
      <c r="F208" s="191">
        <v>0</v>
      </c>
      <c r="G208" s="191">
        <v>1</v>
      </c>
      <c r="H208" s="194">
        <f t="shared" si="8"/>
        <v>2</v>
      </c>
      <c r="I208" s="191">
        <v>0</v>
      </c>
      <c r="J208" s="191">
        <v>2</v>
      </c>
      <c r="K208" s="194">
        <v>0</v>
      </c>
      <c r="L208" s="191">
        <v>0</v>
      </c>
      <c r="M208" s="191">
        <v>0</v>
      </c>
    </row>
    <row r="209" spans="2:26" x14ac:dyDescent="0.2">
      <c r="B209" s="775"/>
      <c r="C209" s="775"/>
      <c r="D209" s="190">
        <v>21</v>
      </c>
      <c r="E209" s="194">
        <f t="shared" si="7"/>
        <v>0</v>
      </c>
      <c r="F209" s="191">
        <v>0</v>
      </c>
      <c r="G209" s="191">
        <v>0</v>
      </c>
      <c r="H209" s="194">
        <f t="shared" si="8"/>
        <v>1</v>
      </c>
      <c r="I209" s="191">
        <v>0</v>
      </c>
      <c r="J209" s="191">
        <v>1</v>
      </c>
      <c r="K209" s="194">
        <v>0</v>
      </c>
      <c r="L209" s="191">
        <v>0</v>
      </c>
      <c r="M209" s="191">
        <v>0</v>
      </c>
    </row>
    <row r="210" spans="2:26" x14ac:dyDescent="0.2">
      <c r="B210" s="775"/>
      <c r="C210" s="775"/>
      <c r="D210" s="190">
        <v>22</v>
      </c>
      <c r="E210" s="194">
        <f t="shared" si="7"/>
        <v>0</v>
      </c>
      <c r="F210" s="191">
        <v>0</v>
      </c>
      <c r="G210" s="191">
        <v>0</v>
      </c>
      <c r="H210" s="194">
        <f t="shared" si="8"/>
        <v>0</v>
      </c>
      <c r="I210" s="191">
        <v>0</v>
      </c>
      <c r="J210" s="191">
        <v>0</v>
      </c>
      <c r="K210" s="194">
        <v>1</v>
      </c>
      <c r="L210" s="191">
        <v>1</v>
      </c>
      <c r="M210" s="191">
        <v>0</v>
      </c>
    </row>
    <row r="211" spans="2:26" x14ac:dyDescent="0.2">
      <c r="B211" s="775"/>
      <c r="C211" s="775"/>
      <c r="D211" s="190">
        <v>23</v>
      </c>
      <c r="E211" s="194">
        <f t="shared" si="7"/>
        <v>1</v>
      </c>
      <c r="F211" s="191">
        <v>0</v>
      </c>
      <c r="G211" s="191">
        <v>1</v>
      </c>
      <c r="H211" s="194">
        <f t="shared" si="8"/>
        <v>0</v>
      </c>
      <c r="I211" s="191">
        <v>0</v>
      </c>
      <c r="J211" s="191">
        <v>0</v>
      </c>
      <c r="K211" s="194">
        <v>0</v>
      </c>
      <c r="L211" s="191">
        <v>0</v>
      </c>
      <c r="M211" s="191">
        <v>0</v>
      </c>
    </row>
    <row r="212" spans="2:26" x14ac:dyDescent="0.2">
      <c r="B212" s="775"/>
      <c r="C212" s="775"/>
      <c r="D212" s="190">
        <v>24</v>
      </c>
      <c r="E212" s="194">
        <f t="shared" si="7"/>
        <v>0</v>
      </c>
      <c r="F212" s="191">
        <v>0</v>
      </c>
      <c r="G212" s="191">
        <v>0</v>
      </c>
      <c r="H212" s="194">
        <f t="shared" si="8"/>
        <v>0</v>
      </c>
      <c r="I212" s="191">
        <v>0</v>
      </c>
      <c r="J212" s="191">
        <v>0</v>
      </c>
      <c r="K212" s="194">
        <v>1</v>
      </c>
      <c r="L212" s="191">
        <v>1</v>
      </c>
      <c r="M212" s="191">
        <v>0</v>
      </c>
    </row>
    <row r="213" spans="2:26" x14ac:dyDescent="0.2">
      <c r="B213" s="775"/>
      <c r="C213" s="775"/>
      <c r="D213" s="190">
        <v>25</v>
      </c>
      <c r="E213" s="194">
        <f t="shared" si="7"/>
        <v>0</v>
      </c>
      <c r="F213" s="191">
        <v>0</v>
      </c>
      <c r="G213" s="191">
        <v>0</v>
      </c>
      <c r="H213" s="194">
        <f t="shared" si="8"/>
        <v>0</v>
      </c>
      <c r="I213" s="191">
        <v>0</v>
      </c>
      <c r="J213" s="191">
        <v>0</v>
      </c>
      <c r="K213" s="194">
        <v>1</v>
      </c>
      <c r="L213" s="191">
        <v>0</v>
      </c>
      <c r="M213" s="191">
        <v>1</v>
      </c>
    </row>
    <row r="214" spans="2:26" x14ac:dyDescent="0.2">
      <c r="B214" s="775"/>
      <c r="C214" s="775"/>
      <c r="D214" s="190">
        <v>26</v>
      </c>
      <c r="E214" s="194">
        <f t="shared" si="7"/>
        <v>0</v>
      </c>
      <c r="F214" s="191">
        <v>0</v>
      </c>
      <c r="G214" s="191">
        <v>0</v>
      </c>
      <c r="H214" s="194">
        <f t="shared" si="8"/>
        <v>0</v>
      </c>
      <c r="I214" s="191">
        <v>0</v>
      </c>
      <c r="J214" s="191">
        <v>0</v>
      </c>
      <c r="K214" s="194">
        <v>1</v>
      </c>
      <c r="L214" s="191">
        <v>0</v>
      </c>
      <c r="M214" s="191">
        <v>1</v>
      </c>
    </row>
    <row r="215" spans="2:26" x14ac:dyDescent="0.2">
      <c r="B215" s="775"/>
      <c r="C215" s="775"/>
      <c r="D215" s="190">
        <v>27</v>
      </c>
      <c r="E215" s="194">
        <f t="shared" si="7"/>
        <v>0</v>
      </c>
      <c r="F215" s="191">
        <v>0</v>
      </c>
      <c r="G215" s="191">
        <v>0</v>
      </c>
      <c r="H215" s="194">
        <f t="shared" si="8"/>
        <v>0</v>
      </c>
      <c r="I215" s="191">
        <v>0</v>
      </c>
      <c r="J215" s="191">
        <v>0</v>
      </c>
      <c r="K215" s="194">
        <v>0</v>
      </c>
      <c r="L215" s="191">
        <v>0</v>
      </c>
      <c r="M215" s="191">
        <v>0</v>
      </c>
      <c r="N215" s="191"/>
    </row>
    <row r="216" spans="2:26" x14ac:dyDescent="0.2">
      <c r="B216" s="775"/>
      <c r="C216" s="775"/>
      <c r="D216" s="190">
        <v>28</v>
      </c>
      <c r="E216" s="194">
        <f t="shared" si="7"/>
        <v>0</v>
      </c>
      <c r="F216" s="191">
        <v>0</v>
      </c>
      <c r="G216" s="191">
        <v>0</v>
      </c>
      <c r="H216" s="194">
        <f t="shared" si="8"/>
        <v>0</v>
      </c>
      <c r="I216" s="191">
        <v>0</v>
      </c>
      <c r="J216" s="191">
        <v>0</v>
      </c>
      <c r="K216" s="194">
        <v>0</v>
      </c>
      <c r="L216" s="191">
        <v>0</v>
      </c>
      <c r="M216" s="191">
        <v>0</v>
      </c>
      <c r="N216" s="191"/>
    </row>
    <row r="217" spans="2:26" x14ac:dyDescent="0.2">
      <c r="B217" s="775"/>
      <c r="C217" s="775"/>
      <c r="D217" s="190">
        <v>29</v>
      </c>
      <c r="E217" s="194">
        <f t="shared" si="7"/>
        <v>0</v>
      </c>
      <c r="F217" s="191">
        <v>0</v>
      </c>
      <c r="G217" s="191">
        <v>0</v>
      </c>
      <c r="H217" s="194">
        <f t="shared" si="8"/>
        <v>0</v>
      </c>
      <c r="I217" s="191">
        <v>0</v>
      </c>
      <c r="J217" s="191">
        <v>0</v>
      </c>
      <c r="K217" s="194">
        <v>0</v>
      </c>
      <c r="L217" s="191">
        <v>0</v>
      </c>
      <c r="M217" s="191">
        <v>0</v>
      </c>
      <c r="N217" s="191"/>
    </row>
    <row r="218" spans="2:26" x14ac:dyDescent="0.2">
      <c r="B218" s="775"/>
      <c r="C218" s="775"/>
      <c r="D218" s="190" t="s">
        <v>72</v>
      </c>
      <c r="E218" s="194">
        <f t="shared" si="7"/>
        <v>0</v>
      </c>
      <c r="F218" s="191">
        <v>0</v>
      </c>
      <c r="G218" s="191">
        <v>0</v>
      </c>
      <c r="H218" s="194">
        <f t="shared" si="8"/>
        <v>0</v>
      </c>
      <c r="I218" s="191">
        <v>0</v>
      </c>
      <c r="J218" s="191">
        <v>0</v>
      </c>
      <c r="K218" s="194">
        <v>0</v>
      </c>
      <c r="L218" s="191">
        <v>0</v>
      </c>
      <c r="M218" s="191">
        <v>0</v>
      </c>
      <c r="N218" s="191"/>
    </row>
    <row r="219" spans="2:26" x14ac:dyDescent="0.2">
      <c r="B219" s="775"/>
      <c r="C219" s="775"/>
      <c r="D219" s="190" t="s">
        <v>73</v>
      </c>
      <c r="E219" s="194">
        <f t="shared" si="7"/>
        <v>0</v>
      </c>
      <c r="F219" s="191">
        <v>0</v>
      </c>
      <c r="G219" s="191">
        <v>0</v>
      </c>
      <c r="H219" s="194">
        <f t="shared" si="8"/>
        <v>0</v>
      </c>
      <c r="I219" s="191">
        <v>0</v>
      </c>
      <c r="J219" s="191">
        <v>0</v>
      </c>
      <c r="K219" s="194">
        <v>0</v>
      </c>
      <c r="L219" s="191">
        <v>0</v>
      </c>
      <c r="M219" s="191">
        <v>0</v>
      </c>
      <c r="N219" s="191"/>
    </row>
    <row r="220" spans="2:26" x14ac:dyDescent="0.2">
      <c r="B220" s="775"/>
      <c r="C220" s="775"/>
      <c r="D220" s="200" t="s">
        <v>74</v>
      </c>
      <c r="E220" s="194">
        <f t="shared" si="7"/>
        <v>0</v>
      </c>
      <c r="F220" s="201">
        <v>0</v>
      </c>
      <c r="G220" s="201">
        <v>0</v>
      </c>
      <c r="H220" s="194">
        <f t="shared" si="8"/>
        <v>0</v>
      </c>
      <c r="I220" s="201">
        <v>0</v>
      </c>
      <c r="J220" s="201">
        <v>0</v>
      </c>
      <c r="K220" s="194">
        <v>0</v>
      </c>
      <c r="L220" s="201">
        <v>0</v>
      </c>
      <c r="M220" s="201">
        <v>0</v>
      </c>
      <c r="N220" s="191"/>
    </row>
    <row r="221" spans="2:26" ht="16" thickBot="1" x14ac:dyDescent="0.25">
      <c r="B221" s="776"/>
      <c r="C221" s="776"/>
      <c r="D221" s="196" t="s">
        <v>70</v>
      </c>
      <c r="E221" s="197">
        <f>SUM(F221+G221)</f>
        <v>4</v>
      </c>
      <c r="F221" s="198">
        <f>SUM(F206:F220)</f>
        <v>0</v>
      </c>
      <c r="G221" s="199">
        <f>SUM(G206:G220)</f>
        <v>4</v>
      </c>
      <c r="H221" s="197">
        <f>SUM(I221+J221)</f>
        <v>11</v>
      </c>
      <c r="I221" s="198">
        <f>SUM(I206:I220)</f>
        <v>2</v>
      </c>
      <c r="J221" s="199">
        <f>SUM(J206:J220)</f>
        <v>9</v>
      </c>
      <c r="K221" s="197">
        <f>SUM(L221+M221)</f>
        <v>11</v>
      </c>
      <c r="L221" s="198">
        <f>SUM(L206:L220)</f>
        <v>2</v>
      </c>
      <c r="M221" s="283">
        <f>SUM(M206:M220)</f>
        <v>9</v>
      </c>
    </row>
    <row r="222" spans="2:26" x14ac:dyDescent="0.2">
      <c r="B222" s="3" t="s">
        <v>1483</v>
      </c>
      <c r="F222" s="14"/>
      <c r="G222" s="14"/>
      <c r="I222" s="582"/>
      <c r="J222" s="582"/>
      <c r="K222" s="581"/>
      <c r="L222" s="582"/>
      <c r="M222" s="582"/>
      <c r="Z222" s="13"/>
    </row>
    <row r="223" spans="2:26" x14ac:dyDescent="0.2">
      <c r="B223" s="3" t="s">
        <v>42</v>
      </c>
      <c r="Z223" s="13"/>
    </row>
    <row r="224" spans="2:26" x14ac:dyDescent="0.2">
      <c r="B224" s="3"/>
      <c r="Z224" s="13"/>
    </row>
    <row r="225" spans="2:37" x14ac:dyDescent="0.2">
      <c r="B225" s="3"/>
      <c r="Z225" s="13"/>
    </row>
    <row r="226" spans="2:37" x14ac:dyDescent="0.2">
      <c r="B226" s="166" t="s">
        <v>143</v>
      </c>
      <c r="Z226" s="13"/>
    </row>
    <row r="227" spans="2:37" x14ac:dyDescent="0.2">
      <c r="Z227" s="13"/>
    </row>
    <row r="228" spans="2:37" x14ac:dyDescent="0.2">
      <c r="B228" s="647" t="s">
        <v>813</v>
      </c>
      <c r="G228" t="s">
        <v>930</v>
      </c>
      <c r="H228" s="436"/>
      <c r="L228" s="5"/>
      <c r="Z228" s="13"/>
    </row>
    <row r="229" spans="2:37" x14ac:dyDescent="0.2">
      <c r="B229" s="740" t="s">
        <v>2</v>
      </c>
      <c r="C229" s="740"/>
      <c r="D229" s="740" t="s">
        <v>69</v>
      </c>
      <c r="E229" s="752" t="s">
        <v>909</v>
      </c>
      <c r="F229" s="752"/>
      <c r="G229" s="752"/>
      <c r="H229" s="752"/>
      <c r="I229" s="752"/>
      <c r="J229" s="752"/>
      <c r="K229" s="752"/>
      <c r="L229" s="752"/>
      <c r="M229" s="752"/>
      <c r="N229" s="752"/>
      <c r="O229" s="752"/>
      <c r="P229" s="752"/>
      <c r="Q229" s="752"/>
      <c r="R229" s="752"/>
      <c r="S229" s="752"/>
      <c r="U229" s="404"/>
      <c r="X229" s="404"/>
      <c r="AA229" s="404"/>
      <c r="AD229" s="404"/>
    </row>
    <row r="230" spans="2:37" x14ac:dyDescent="0.2">
      <c r="B230" s="741"/>
      <c r="C230" s="741"/>
      <c r="D230" s="741"/>
      <c r="E230" s="747" t="s">
        <v>5</v>
      </c>
      <c r="F230" s="747"/>
      <c r="G230" s="747"/>
      <c r="H230" s="747" t="s">
        <v>6</v>
      </c>
      <c r="I230" s="747"/>
      <c r="J230" s="747"/>
      <c r="K230" s="747" t="s">
        <v>912</v>
      </c>
      <c r="L230" s="747"/>
      <c r="M230" s="747"/>
      <c r="N230" s="747" t="s">
        <v>985</v>
      </c>
      <c r="O230" s="747"/>
      <c r="P230" s="747"/>
      <c r="Q230" s="747" t="s">
        <v>1169</v>
      </c>
      <c r="R230" s="747"/>
      <c r="S230" s="747"/>
      <c r="U230" s="404"/>
      <c r="X230" s="404"/>
      <c r="AA230" s="404"/>
      <c r="AD230" s="404"/>
      <c r="AG230" s="416"/>
      <c r="AH230" s="417"/>
      <c r="AI230" s="417"/>
      <c r="AJ230" s="417"/>
      <c r="AK230" s="417"/>
    </row>
    <row r="231" spans="2:37" ht="12.75" customHeight="1" x14ac:dyDescent="0.2">
      <c r="B231" s="774" t="s">
        <v>7</v>
      </c>
      <c r="C231" s="774"/>
      <c r="D231" s="190"/>
      <c r="E231" s="205" t="s">
        <v>78</v>
      </c>
      <c r="F231" s="205" t="s">
        <v>849</v>
      </c>
      <c r="G231" s="425" t="s">
        <v>850</v>
      </c>
      <c r="H231" s="205" t="s">
        <v>78</v>
      </c>
      <c r="I231" s="205" t="s">
        <v>849</v>
      </c>
      <c r="J231" s="205" t="s">
        <v>850</v>
      </c>
      <c r="K231" s="205" t="s">
        <v>78</v>
      </c>
      <c r="L231" s="205" t="s">
        <v>849</v>
      </c>
      <c r="M231" s="205" t="s">
        <v>850</v>
      </c>
      <c r="N231" s="205" t="s">
        <v>78</v>
      </c>
      <c r="O231" s="205" t="s">
        <v>849</v>
      </c>
      <c r="P231" s="205" t="s">
        <v>850</v>
      </c>
      <c r="Q231" s="205" t="s">
        <v>78</v>
      </c>
      <c r="R231" s="205" t="s">
        <v>849</v>
      </c>
      <c r="S231" s="205" t="s">
        <v>850</v>
      </c>
      <c r="U231" s="404"/>
      <c r="X231" s="404"/>
      <c r="AA231" s="404"/>
      <c r="AD231" s="404"/>
      <c r="AG231" s="404"/>
    </row>
    <row r="232" spans="2:37" ht="13.5" customHeight="1" x14ac:dyDescent="0.2">
      <c r="B232" s="775"/>
      <c r="C232" s="775"/>
      <c r="D232" s="190" t="s">
        <v>71</v>
      </c>
      <c r="E232" s="195">
        <v>12</v>
      </c>
      <c r="F232" s="190">
        <v>3</v>
      </c>
      <c r="G232" s="426">
        <v>9</v>
      </c>
      <c r="H232" s="192">
        <v>12</v>
      </c>
      <c r="I232" s="190">
        <v>3</v>
      </c>
      <c r="J232" s="190">
        <v>9</v>
      </c>
      <c r="K232" s="195">
        <f>SUM(L232:M232)</f>
        <v>17</v>
      </c>
      <c r="L232" s="190">
        <v>3</v>
      </c>
      <c r="M232" s="190">
        <v>14</v>
      </c>
      <c r="N232" s="195">
        <f>SUM(O232:P232)</f>
        <v>18</v>
      </c>
      <c r="O232" s="190">
        <v>2</v>
      </c>
      <c r="P232" s="193">
        <v>16</v>
      </c>
      <c r="Q232" s="192">
        <f>SUM(R232:S232)</f>
        <v>20</v>
      </c>
      <c r="R232" s="190">
        <v>3</v>
      </c>
      <c r="S232" s="190">
        <v>17</v>
      </c>
      <c r="U232" s="404"/>
      <c r="X232" s="404"/>
      <c r="AA232" s="404"/>
      <c r="AD232" s="404"/>
      <c r="AG232" s="404"/>
    </row>
    <row r="233" spans="2:37" x14ac:dyDescent="0.2">
      <c r="B233" s="775"/>
      <c r="C233" s="775"/>
      <c r="D233" s="190">
        <v>19</v>
      </c>
      <c r="E233" s="195">
        <v>12</v>
      </c>
      <c r="F233" s="190">
        <v>2</v>
      </c>
      <c r="G233" s="426">
        <v>10</v>
      </c>
      <c r="H233" s="192">
        <v>18</v>
      </c>
      <c r="I233" s="190">
        <v>6</v>
      </c>
      <c r="J233" s="190">
        <v>12</v>
      </c>
      <c r="K233" s="195">
        <f t="shared" ref="K233:K246" si="9">SUM(L233:M233)</f>
        <v>25</v>
      </c>
      <c r="L233" s="190">
        <v>4</v>
      </c>
      <c r="M233" s="190">
        <v>21</v>
      </c>
      <c r="N233" s="195">
        <f t="shared" ref="N233:N246" si="10">SUM(O233:P233)</f>
        <v>28</v>
      </c>
      <c r="O233" s="190">
        <v>4</v>
      </c>
      <c r="P233" s="193">
        <v>24</v>
      </c>
      <c r="Q233" s="192">
        <f t="shared" ref="Q233:Q246" si="11">SUM(R233:S233)</f>
        <v>26</v>
      </c>
      <c r="R233" s="190">
        <v>3</v>
      </c>
      <c r="S233" s="190">
        <v>23</v>
      </c>
      <c r="U233" s="404"/>
      <c r="X233" s="404"/>
      <c r="AA233" s="404"/>
      <c r="AD233" s="404"/>
      <c r="AG233" s="404"/>
    </row>
    <row r="234" spans="2:37" x14ac:dyDescent="0.2">
      <c r="B234" s="775"/>
      <c r="C234" s="775"/>
      <c r="D234" s="190">
        <v>20</v>
      </c>
      <c r="E234" s="195">
        <v>16</v>
      </c>
      <c r="F234" s="190">
        <v>3</v>
      </c>
      <c r="G234" s="426">
        <v>13</v>
      </c>
      <c r="H234" s="192">
        <v>19</v>
      </c>
      <c r="I234" s="190">
        <v>2</v>
      </c>
      <c r="J234" s="190">
        <v>17</v>
      </c>
      <c r="K234" s="195">
        <f t="shared" si="9"/>
        <v>27</v>
      </c>
      <c r="L234" s="190">
        <v>8</v>
      </c>
      <c r="M234" s="190">
        <v>19</v>
      </c>
      <c r="N234" s="195">
        <f t="shared" si="10"/>
        <v>24</v>
      </c>
      <c r="O234" s="190">
        <v>4</v>
      </c>
      <c r="P234" s="193">
        <v>20</v>
      </c>
      <c r="Q234" s="192">
        <f t="shared" si="11"/>
        <v>27</v>
      </c>
      <c r="R234" s="190">
        <v>4</v>
      </c>
      <c r="S234" s="190">
        <v>23</v>
      </c>
      <c r="U234" s="404"/>
      <c r="X234" s="404"/>
      <c r="AA234" s="404"/>
      <c r="AD234" s="404"/>
      <c r="AG234" s="404"/>
    </row>
    <row r="235" spans="2:37" x14ac:dyDescent="0.2">
      <c r="B235" s="775"/>
      <c r="C235" s="775"/>
      <c r="D235" s="190">
        <v>21</v>
      </c>
      <c r="E235" s="195">
        <v>12</v>
      </c>
      <c r="F235" s="190">
        <v>3</v>
      </c>
      <c r="G235" s="426">
        <v>9</v>
      </c>
      <c r="H235" s="192">
        <v>15</v>
      </c>
      <c r="I235" s="190">
        <v>3</v>
      </c>
      <c r="J235" s="190">
        <v>12</v>
      </c>
      <c r="K235" s="195">
        <f t="shared" si="9"/>
        <v>21</v>
      </c>
      <c r="L235" s="190">
        <v>1</v>
      </c>
      <c r="M235" s="190">
        <v>20</v>
      </c>
      <c r="N235" s="195">
        <f t="shared" si="10"/>
        <v>31</v>
      </c>
      <c r="O235" s="190">
        <v>7</v>
      </c>
      <c r="P235" s="193">
        <v>24</v>
      </c>
      <c r="Q235" s="192">
        <f t="shared" si="11"/>
        <v>26</v>
      </c>
      <c r="R235" s="190">
        <v>3</v>
      </c>
      <c r="S235" s="190">
        <v>23</v>
      </c>
      <c r="U235" s="404"/>
      <c r="X235" s="404"/>
      <c r="AA235" s="404"/>
      <c r="AD235" s="404"/>
      <c r="AG235" s="404"/>
    </row>
    <row r="236" spans="2:37" x14ac:dyDescent="0.2">
      <c r="B236" s="775"/>
      <c r="C236" s="775"/>
      <c r="D236" s="190">
        <v>22</v>
      </c>
      <c r="E236" s="195">
        <v>5</v>
      </c>
      <c r="F236" s="190">
        <v>0</v>
      </c>
      <c r="G236" s="426">
        <v>5</v>
      </c>
      <c r="H236" s="192">
        <v>10</v>
      </c>
      <c r="I236" s="190">
        <v>1</v>
      </c>
      <c r="J236" s="190">
        <v>9</v>
      </c>
      <c r="K236" s="195">
        <f t="shared" si="9"/>
        <v>13</v>
      </c>
      <c r="L236" s="190">
        <v>3</v>
      </c>
      <c r="M236" s="190">
        <v>10</v>
      </c>
      <c r="N236" s="195">
        <f t="shared" si="10"/>
        <v>16</v>
      </c>
      <c r="O236" s="190">
        <v>1</v>
      </c>
      <c r="P236" s="193">
        <v>15</v>
      </c>
      <c r="Q236" s="192">
        <f t="shared" si="11"/>
        <v>19</v>
      </c>
      <c r="R236" s="190">
        <v>6</v>
      </c>
      <c r="S236" s="190">
        <v>13</v>
      </c>
      <c r="U236" s="404"/>
      <c r="X236" s="404"/>
      <c r="AA236" s="404"/>
      <c r="AD236" s="404"/>
      <c r="AG236" s="404"/>
    </row>
    <row r="237" spans="2:37" x14ac:dyDescent="0.2">
      <c r="B237" s="775"/>
      <c r="C237" s="775"/>
      <c r="D237" s="190">
        <v>23</v>
      </c>
      <c r="E237" s="195">
        <v>4</v>
      </c>
      <c r="F237" s="190">
        <v>1</v>
      </c>
      <c r="G237" s="426">
        <v>3</v>
      </c>
      <c r="H237" s="192">
        <v>4</v>
      </c>
      <c r="I237" s="190">
        <v>0</v>
      </c>
      <c r="J237" s="190">
        <v>4</v>
      </c>
      <c r="K237" s="195">
        <f t="shared" si="9"/>
        <v>10</v>
      </c>
      <c r="L237" s="190">
        <v>1</v>
      </c>
      <c r="M237" s="190">
        <v>9</v>
      </c>
      <c r="N237" s="195">
        <f t="shared" si="10"/>
        <v>11</v>
      </c>
      <c r="O237" s="190">
        <v>3</v>
      </c>
      <c r="P237" s="193">
        <v>8</v>
      </c>
      <c r="Q237" s="192">
        <f t="shared" si="11"/>
        <v>12</v>
      </c>
      <c r="R237" s="190">
        <v>0</v>
      </c>
      <c r="S237" s="190">
        <v>12</v>
      </c>
      <c r="U237" s="404"/>
      <c r="X237" s="404"/>
      <c r="AA237" s="404"/>
      <c r="AD237" s="404"/>
      <c r="AG237" s="404"/>
    </row>
    <row r="238" spans="2:37" x14ac:dyDescent="0.2">
      <c r="B238" s="775"/>
      <c r="C238" s="775"/>
      <c r="D238" s="190">
        <v>24</v>
      </c>
      <c r="E238" s="195">
        <v>10</v>
      </c>
      <c r="F238" s="190">
        <v>2</v>
      </c>
      <c r="G238" s="426">
        <v>8</v>
      </c>
      <c r="H238" s="192">
        <v>4</v>
      </c>
      <c r="I238" s="190">
        <v>0</v>
      </c>
      <c r="J238" s="190">
        <v>4</v>
      </c>
      <c r="K238" s="195">
        <f t="shared" si="9"/>
        <v>4</v>
      </c>
      <c r="L238" s="190">
        <v>0</v>
      </c>
      <c r="M238" s="190">
        <v>4</v>
      </c>
      <c r="N238" s="195">
        <f t="shared" si="10"/>
        <v>7</v>
      </c>
      <c r="O238" s="190">
        <v>2</v>
      </c>
      <c r="P238" s="193">
        <v>5</v>
      </c>
      <c r="Q238" s="192">
        <f t="shared" si="11"/>
        <v>12</v>
      </c>
      <c r="R238" s="190">
        <v>3</v>
      </c>
      <c r="S238" s="190">
        <v>9</v>
      </c>
      <c r="U238" s="404"/>
      <c r="X238" s="404"/>
      <c r="AA238" s="404"/>
      <c r="AD238" s="404"/>
      <c r="AG238" s="404"/>
    </row>
    <row r="239" spans="2:37" x14ac:dyDescent="0.2">
      <c r="B239" s="775"/>
      <c r="C239" s="775"/>
      <c r="D239" s="190">
        <v>25</v>
      </c>
      <c r="E239" s="195">
        <v>5</v>
      </c>
      <c r="F239" s="190">
        <v>0</v>
      </c>
      <c r="G239" s="426">
        <v>5</v>
      </c>
      <c r="H239" s="192">
        <v>6</v>
      </c>
      <c r="I239" s="190">
        <v>0</v>
      </c>
      <c r="J239" s="190">
        <v>6</v>
      </c>
      <c r="K239" s="195">
        <f t="shared" si="9"/>
        <v>2</v>
      </c>
      <c r="L239" s="190">
        <v>0</v>
      </c>
      <c r="M239" s="190">
        <v>2</v>
      </c>
      <c r="N239" s="195">
        <f t="shared" si="10"/>
        <v>3</v>
      </c>
      <c r="O239" s="190">
        <v>0</v>
      </c>
      <c r="P239" s="193">
        <v>3</v>
      </c>
      <c r="Q239" s="192">
        <f t="shared" si="11"/>
        <v>4</v>
      </c>
      <c r="R239" s="190">
        <v>1</v>
      </c>
      <c r="S239" s="190">
        <v>3</v>
      </c>
      <c r="U239" s="404"/>
      <c r="X239" s="404"/>
      <c r="AA239" s="404"/>
      <c r="AD239" s="404"/>
      <c r="AG239" s="404"/>
    </row>
    <row r="240" spans="2:37" x14ac:dyDescent="0.2">
      <c r="B240" s="775"/>
      <c r="C240" s="775"/>
      <c r="D240" s="190">
        <v>26</v>
      </c>
      <c r="E240" s="195">
        <v>6</v>
      </c>
      <c r="F240" s="190">
        <v>0</v>
      </c>
      <c r="G240" s="426">
        <v>6</v>
      </c>
      <c r="H240" s="192">
        <v>5</v>
      </c>
      <c r="I240" s="190">
        <v>0</v>
      </c>
      <c r="J240" s="190">
        <v>5</v>
      </c>
      <c r="K240" s="195">
        <f t="shared" si="9"/>
        <v>4</v>
      </c>
      <c r="L240" s="190">
        <v>0</v>
      </c>
      <c r="M240" s="190">
        <v>4</v>
      </c>
      <c r="N240" s="195">
        <f t="shared" si="10"/>
        <v>1</v>
      </c>
      <c r="O240" s="190">
        <v>0</v>
      </c>
      <c r="P240" s="193">
        <v>1</v>
      </c>
      <c r="Q240" s="192">
        <f t="shared" si="11"/>
        <v>3</v>
      </c>
      <c r="R240" s="190">
        <v>0</v>
      </c>
      <c r="S240" s="190">
        <v>3</v>
      </c>
      <c r="U240" s="404"/>
      <c r="X240" s="404"/>
      <c r="AA240" s="404"/>
      <c r="AD240" s="404"/>
      <c r="AG240" s="404"/>
    </row>
    <row r="241" spans="2:34" x14ac:dyDescent="0.2">
      <c r="B241" s="775"/>
      <c r="C241" s="775"/>
      <c r="D241" s="190">
        <v>27</v>
      </c>
      <c r="E241" s="195">
        <v>4</v>
      </c>
      <c r="F241" s="190">
        <v>0</v>
      </c>
      <c r="G241" s="426">
        <v>4</v>
      </c>
      <c r="H241" s="192">
        <v>2</v>
      </c>
      <c r="I241" s="190">
        <v>1</v>
      </c>
      <c r="J241" s="190">
        <v>1</v>
      </c>
      <c r="K241" s="195">
        <f t="shared" si="9"/>
        <v>3</v>
      </c>
      <c r="L241" s="190">
        <v>0</v>
      </c>
      <c r="M241" s="190">
        <v>3</v>
      </c>
      <c r="N241" s="195">
        <f t="shared" si="10"/>
        <v>2</v>
      </c>
      <c r="O241" s="190">
        <v>0</v>
      </c>
      <c r="P241" s="193">
        <v>2</v>
      </c>
      <c r="Q241" s="192">
        <f t="shared" si="11"/>
        <v>1</v>
      </c>
      <c r="R241" s="190">
        <v>0</v>
      </c>
      <c r="S241" s="190">
        <v>1</v>
      </c>
      <c r="U241" s="404"/>
      <c r="X241" s="404"/>
      <c r="AA241" s="404"/>
      <c r="AD241" s="404"/>
      <c r="AG241" s="404"/>
    </row>
    <row r="242" spans="2:34" x14ac:dyDescent="0.2">
      <c r="B242" s="775"/>
      <c r="C242" s="775"/>
      <c r="D242" s="190">
        <v>28</v>
      </c>
      <c r="E242" s="195">
        <v>5</v>
      </c>
      <c r="F242" s="190">
        <v>0</v>
      </c>
      <c r="G242" s="426">
        <v>5</v>
      </c>
      <c r="H242" s="192">
        <v>2</v>
      </c>
      <c r="I242" s="190">
        <v>0</v>
      </c>
      <c r="J242" s="190">
        <v>2</v>
      </c>
      <c r="K242" s="195">
        <f t="shared" si="9"/>
        <v>1</v>
      </c>
      <c r="L242" s="190">
        <v>0</v>
      </c>
      <c r="M242" s="190">
        <v>1</v>
      </c>
      <c r="N242" s="195">
        <f t="shared" si="10"/>
        <v>1</v>
      </c>
      <c r="O242" s="190">
        <v>0</v>
      </c>
      <c r="P242" s="193">
        <v>1</v>
      </c>
      <c r="Q242" s="192">
        <f t="shared" si="11"/>
        <v>2</v>
      </c>
      <c r="R242" s="190">
        <v>0</v>
      </c>
      <c r="S242" s="190">
        <v>2</v>
      </c>
      <c r="U242" s="404"/>
      <c r="X242" s="404"/>
      <c r="AA242" s="404"/>
      <c r="AD242" s="404"/>
      <c r="AG242" s="404"/>
    </row>
    <row r="243" spans="2:34" x14ac:dyDescent="0.2">
      <c r="B243" s="775"/>
      <c r="C243" s="775"/>
      <c r="D243" s="190">
        <v>29</v>
      </c>
      <c r="E243" s="195">
        <v>1</v>
      </c>
      <c r="F243" s="190">
        <v>0</v>
      </c>
      <c r="G243" s="426">
        <v>1</v>
      </c>
      <c r="H243" s="192">
        <v>1</v>
      </c>
      <c r="I243" s="190">
        <v>0</v>
      </c>
      <c r="J243" s="190">
        <v>1</v>
      </c>
      <c r="K243" s="195">
        <f t="shared" si="9"/>
        <v>0</v>
      </c>
      <c r="L243" s="190">
        <v>0</v>
      </c>
      <c r="M243" s="190">
        <v>0</v>
      </c>
      <c r="N243" s="195">
        <f t="shared" si="10"/>
        <v>0</v>
      </c>
      <c r="O243" s="190">
        <v>0</v>
      </c>
      <c r="P243" s="193">
        <v>0</v>
      </c>
      <c r="Q243" s="192">
        <f t="shared" si="11"/>
        <v>1</v>
      </c>
      <c r="R243" s="190">
        <v>0</v>
      </c>
      <c r="S243" s="190">
        <v>1</v>
      </c>
      <c r="U243" s="404"/>
      <c r="X243" s="404"/>
      <c r="AA243" s="404"/>
      <c r="AD243" s="404"/>
      <c r="AG243" s="404"/>
    </row>
    <row r="244" spans="2:34" x14ac:dyDescent="0.2">
      <c r="B244" s="775"/>
      <c r="C244" s="775"/>
      <c r="D244" s="190" t="s">
        <v>72</v>
      </c>
      <c r="E244" s="195">
        <v>4</v>
      </c>
      <c r="F244" s="190">
        <v>0</v>
      </c>
      <c r="G244" s="426">
        <v>4</v>
      </c>
      <c r="H244" s="192">
        <v>6</v>
      </c>
      <c r="I244" s="190">
        <v>0</v>
      </c>
      <c r="J244" s="190">
        <v>6</v>
      </c>
      <c r="K244" s="195">
        <f t="shared" si="9"/>
        <v>4</v>
      </c>
      <c r="L244" s="190">
        <v>0</v>
      </c>
      <c r="M244" s="190">
        <v>4</v>
      </c>
      <c r="N244" s="195">
        <f t="shared" si="10"/>
        <v>0</v>
      </c>
      <c r="O244" s="190">
        <v>0</v>
      </c>
      <c r="P244" s="193">
        <v>0</v>
      </c>
      <c r="Q244" s="192">
        <f t="shared" si="11"/>
        <v>2</v>
      </c>
      <c r="R244" s="190">
        <v>0</v>
      </c>
      <c r="S244" s="190">
        <v>2</v>
      </c>
      <c r="U244" s="404"/>
      <c r="X244" s="404"/>
      <c r="AA244" s="404"/>
      <c r="AD244" s="404"/>
      <c r="AG244" s="404"/>
    </row>
    <row r="245" spans="2:34" x14ac:dyDescent="0.2">
      <c r="B245" s="775"/>
      <c r="C245" s="775"/>
      <c r="D245" s="190" t="s">
        <v>73</v>
      </c>
      <c r="E245" s="195">
        <v>1</v>
      </c>
      <c r="F245" s="190">
        <v>0</v>
      </c>
      <c r="G245" s="426">
        <v>1</v>
      </c>
      <c r="H245" s="192">
        <v>1</v>
      </c>
      <c r="I245" s="190">
        <v>0</v>
      </c>
      <c r="J245" s="190">
        <v>1</v>
      </c>
      <c r="K245" s="195">
        <f t="shared" si="9"/>
        <v>1</v>
      </c>
      <c r="L245" s="190">
        <v>0</v>
      </c>
      <c r="M245" s="190">
        <v>1</v>
      </c>
      <c r="N245" s="195">
        <f t="shared" si="10"/>
        <v>0</v>
      </c>
      <c r="O245" s="190">
        <v>0</v>
      </c>
      <c r="P245" s="193">
        <v>0</v>
      </c>
      <c r="Q245" s="192">
        <f t="shared" si="11"/>
        <v>0</v>
      </c>
      <c r="R245" s="190">
        <v>0</v>
      </c>
      <c r="S245" s="190">
        <v>0</v>
      </c>
      <c r="U245" s="404"/>
      <c r="X245" s="404"/>
      <c r="AA245" s="404"/>
      <c r="AD245" s="404"/>
      <c r="AG245" s="404"/>
    </row>
    <row r="246" spans="2:34" x14ac:dyDescent="0.2">
      <c r="B246" s="775"/>
      <c r="C246" s="775"/>
      <c r="D246" s="200" t="s">
        <v>74</v>
      </c>
      <c r="E246" s="202">
        <v>2</v>
      </c>
      <c r="F246" s="200">
        <v>0</v>
      </c>
      <c r="G246" s="427">
        <v>2</v>
      </c>
      <c r="H246" s="204">
        <v>3</v>
      </c>
      <c r="I246" s="200">
        <v>0</v>
      </c>
      <c r="J246" s="190">
        <v>3</v>
      </c>
      <c r="K246" s="195">
        <f t="shared" si="9"/>
        <v>4</v>
      </c>
      <c r="L246" s="200">
        <v>0</v>
      </c>
      <c r="M246" s="190">
        <v>4</v>
      </c>
      <c r="N246" s="195">
        <f t="shared" si="10"/>
        <v>4</v>
      </c>
      <c r="O246" s="200">
        <v>0</v>
      </c>
      <c r="P246" s="203">
        <v>4</v>
      </c>
      <c r="Q246" s="192">
        <f t="shared" si="11"/>
        <v>3</v>
      </c>
      <c r="R246" s="190">
        <v>0</v>
      </c>
      <c r="S246" s="200">
        <v>3</v>
      </c>
    </row>
    <row r="247" spans="2:34" ht="16" thickBot="1" x14ac:dyDescent="0.25">
      <c r="B247" s="776"/>
      <c r="C247" s="776"/>
      <c r="D247" s="196" t="s">
        <v>70</v>
      </c>
      <c r="E247" s="197">
        <f>SUM(F247+G247)</f>
        <v>99</v>
      </c>
      <c r="F247" s="283">
        <f>SUM(F232:F246)</f>
        <v>14</v>
      </c>
      <c r="G247" s="430">
        <f>SUM(G232:G246)</f>
        <v>85</v>
      </c>
      <c r="H247" s="197">
        <f>SUM(I247+J247)</f>
        <v>108</v>
      </c>
      <c r="I247" s="283">
        <f>SUM(I232:I246)</f>
        <v>16</v>
      </c>
      <c r="J247" s="283">
        <f>SUM(J232:J246)</f>
        <v>92</v>
      </c>
      <c r="K247" s="197">
        <f>SUM(L247+M247)</f>
        <v>136</v>
      </c>
      <c r="L247" s="283">
        <f>SUM(L232:L246)</f>
        <v>20</v>
      </c>
      <c r="M247" s="283">
        <f>SUM(M232:M246)</f>
        <v>116</v>
      </c>
      <c r="N247" s="197">
        <f>SUM(O247+P247)</f>
        <v>146</v>
      </c>
      <c r="O247" s="283">
        <f>SUM(O232:O246)</f>
        <v>23</v>
      </c>
      <c r="P247" s="283">
        <f>SUM(P232:P246)</f>
        <v>123</v>
      </c>
      <c r="Q247" s="197">
        <f>SUM(R247+S247)</f>
        <v>158</v>
      </c>
      <c r="R247" s="283">
        <f>SUM(R232:R246)</f>
        <v>23</v>
      </c>
      <c r="S247" s="283">
        <f>SUM(S232:S246)</f>
        <v>135</v>
      </c>
      <c r="AG247" s="416"/>
      <c r="AH247" s="417"/>
    </row>
    <row r="248" spans="2:34" x14ac:dyDescent="0.2"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2:34" x14ac:dyDescent="0.2">
      <c r="B249" s="740" t="s">
        <v>2</v>
      </c>
      <c r="C249" s="740"/>
      <c r="D249" s="740" t="s">
        <v>69</v>
      </c>
      <c r="E249" s="752" t="s">
        <v>909</v>
      </c>
      <c r="F249" s="752"/>
      <c r="G249" s="752"/>
      <c r="H249" s="752"/>
      <c r="I249" s="752"/>
      <c r="J249" s="752"/>
      <c r="K249" s="752"/>
      <c r="L249" s="752"/>
      <c r="M249" s="752"/>
      <c r="N249" s="752"/>
      <c r="O249" s="752"/>
      <c r="P249" s="752"/>
      <c r="Q249" s="752"/>
      <c r="R249" s="752"/>
      <c r="S249" s="752"/>
    </row>
    <row r="250" spans="2:34" x14ac:dyDescent="0.2">
      <c r="B250" s="741"/>
      <c r="C250" s="741"/>
      <c r="D250" s="741"/>
      <c r="E250" s="747" t="s">
        <v>5</v>
      </c>
      <c r="F250" s="747"/>
      <c r="G250" s="747"/>
      <c r="H250" s="747" t="s">
        <v>6</v>
      </c>
      <c r="I250" s="747"/>
      <c r="J250" s="747"/>
      <c r="K250" s="747" t="s">
        <v>912</v>
      </c>
      <c r="L250" s="747"/>
      <c r="M250" s="747"/>
      <c r="N250" s="747" t="s">
        <v>985</v>
      </c>
      <c r="O250" s="747"/>
      <c r="P250" s="747"/>
      <c r="Q250" s="747" t="s">
        <v>1169</v>
      </c>
      <c r="R250" s="747"/>
      <c r="S250" s="747"/>
    </row>
    <row r="251" spans="2:34" ht="12.75" customHeight="1" x14ac:dyDescent="0.2">
      <c r="B251" s="774" t="s">
        <v>8</v>
      </c>
      <c r="C251" s="774"/>
      <c r="D251" s="190"/>
      <c r="E251" s="205" t="s">
        <v>78</v>
      </c>
      <c r="F251" s="205" t="s">
        <v>849</v>
      </c>
      <c r="G251" s="425" t="s">
        <v>850</v>
      </c>
      <c r="H251" s="205" t="s">
        <v>78</v>
      </c>
      <c r="I251" s="205" t="s">
        <v>849</v>
      </c>
      <c r="J251" s="205" t="s">
        <v>850</v>
      </c>
      <c r="K251" s="205" t="s">
        <v>78</v>
      </c>
      <c r="L251" s="205" t="s">
        <v>849</v>
      </c>
      <c r="M251" s="205" t="s">
        <v>850</v>
      </c>
      <c r="N251" s="205" t="s">
        <v>78</v>
      </c>
      <c r="O251" s="205" t="s">
        <v>849</v>
      </c>
      <c r="P251" s="205" t="s">
        <v>850</v>
      </c>
      <c r="Q251" s="205" t="s">
        <v>78</v>
      </c>
      <c r="R251" s="205" t="s">
        <v>849</v>
      </c>
      <c r="S251" s="205" t="s">
        <v>850</v>
      </c>
    </row>
    <row r="252" spans="2:34" ht="13.5" customHeight="1" x14ac:dyDescent="0.2">
      <c r="B252" s="775"/>
      <c r="C252" s="775"/>
      <c r="D252" s="190" t="s">
        <v>71</v>
      </c>
      <c r="E252" s="195">
        <v>25</v>
      </c>
      <c r="F252" s="190">
        <v>14</v>
      </c>
      <c r="G252" s="426">
        <v>11</v>
      </c>
      <c r="H252" s="192">
        <v>18</v>
      </c>
      <c r="I252" s="190">
        <v>11</v>
      </c>
      <c r="J252" s="190">
        <v>7</v>
      </c>
      <c r="K252" s="195">
        <f>SUM(L252:M252)</f>
        <v>18</v>
      </c>
      <c r="L252" s="190">
        <v>10</v>
      </c>
      <c r="M252" s="190">
        <v>8</v>
      </c>
      <c r="N252" s="195">
        <f>SUM(O252:P252)</f>
        <v>26</v>
      </c>
      <c r="O252" s="190">
        <v>12</v>
      </c>
      <c r="P252" s="193">
        <v>14</v>
      </c>
      <c r="Q252" s="192">
        <f>SUM(R252:S252)</f>
        <v>26</v>
      </c>
      <c r="R252" s="190">
        <v>13</v>
      </c>
      <c r="S252" s="190">
        <v>13</v>
      </c>
    </row>
    <row r="253" spans="2:34" x14ac:dyDescent="0.2">
      <c r="B253" s="775"/>
      <c r="C253" s="775"/>
      <c r="D253" s="190">
        <v>19</v>
      </c>
      <c r="E253" s="195">
        <v>22</v>
      </c>
      <c r="F253" s="190">
        <v>10</v>
      </c>
      <c r="G253" s="426">
        <v>12</v>
      </c>
      <c r="H253" s="192">
        <v>34</v>
      </c>
      <c r="I253" s="190">
        <v>17</v>
      </c>
      <c r="J253" s="190">
        <v>17</v>
      </c>
      <c r="K253" s="195">
        <f t="shared" ref="K253:K266" si="12">SUM(L253:M253)</f>
        <v>28</v>
      </c>
      <c r="L253" s="190">
        <v>15</v>
      </c>
      <c r="M253" s="190">
        <v>13</v>
      </c>
      <c r="N253" s="195">
        <f t="shared" ref="N253:N266" si="13">SUM(O253:P253)</f>
        <v>30</v>
      </c>
      <c r="O253" s="190">
        <v>19</v>
      </c>
      <c r="P253" s="193">
        <v>11</v>
      </c>
      <c r="Q253" s="192">
        <f t="shared" ref="Q253:Q266" si="14">SUM(R253:S253)</f>
        <v>41</v>
      </c>
      <c r="R253" s="190">
        <v>18</v>
      </c>
      <c r="S253" s="190">
        <v>23</v>
      </c>
    </row>
    <row r="254" spans="2:34" x14ac:dyDescent="0.2">
      <c r="B254" s="775"/>
      <c r="C254" s="775"/>
      <c r="D254" s="190">
        <v>20</v>
      </c>
      <c r="E254" s="195">
        <v>37</v>
      </c>
      <c r="F254" s="190">
        <v>15</v>
      </c>
      <c r="G254" s="426">
        <v>22</v>
      </c>
      <c r="H254" s="192">
        <v>27</v>
      </c>
      <c r="I254" s="190">
        <v>12</v>
      </c>
      <c r="J254" s="190">
        <v>15</v>
      </c>
      <c r="K254" s="195">
        <f t="shared" si="12"/>
        <v>43</v>
      </c>
      <c r="L254" s="190">
        <v>20</v>
      </c>
      <c r="M254" s="190">
        <v>23</v>
      </c>
      <c r="N254" s="195">
        <f t="shared" si="13"/>
        <v>36</v>
      </c>
      <c r="O254" s="190">
        <v>20</v>
      </c>
      <c r="P254" s="193">
        <v>16</v>
      </c>
      <c r="Q254" s="192">
        <f t="shared" si="14"/>
        <v>36</v>
      </c>
      <c r="R254" s="190">
        <v>19</v>
      </c>
      <c r="S254" s="190">
        <v>17</v>
      </c>
    </row>
    <row r="255" spans="2:34" x14ac:dyDescent="0.2">
      <c r="B255" s="775"/>
      <c r="C255" s="775"/>
      <c r="D255" s="190">
        <v>21</v>
      </c>
      <c r="E255" s="195">
        <v>46</v>
      </c>
      <c r="F255" s="190">
        <v>23</v>
      </c>
      <c r="G255" s="426">
        <v>23</v>
      </c>
      <c r="H255" s="192">
        <v>44</v>
      </c>
      <c r="I255" s="190">
        <v>18</v>
      </c>
      <c r="J255" s="190">
        <v>26</v>
      </c>
      <c r="K255" s="195">
        <f t="shared" si="12"/>
        <v>28</v>
      </c>
      <c r="L255" s="190">
        <v>13</v>
      </c>
      <c r="M255" s="190">
        <v>15</v>
      </c>
      <c r="N255" s="195">
        <f t="shared" si="13"/>
        <v>49</v>
      </c>
      <c r="O255" s="190">
        <v>22</v>
      </c>
      <c r="P255" s="193">
        <v>27</v>
      </c>
      <c r="Q255" s="192">
        <f t="shared" si="14"/>
        <v>37</v>
      </c>
      <c r="R255" s="190">
        <v>19</v>
      </c>
      <c r="S255" s="190">
        <v>18</v>
      </c>
    </row>
    <row r="256" spans="2:34" x14ac:dyDescent="0.2">
      <c r="B256" s="775"/>
      <c r="C256" s="775"/>
      <c r="D256" s="190">
        <v>22</v>
      </c>
      <c r="E256" s="195">
        <v>36</v>
      </c>
      <c r="F256" s="190">
        <v>15</v>
      </c>
      <c r="G256" s="426">
        <v>21</v>
      </c>
      <c r="H256" s="192">
        <v>40</v>
      </c>
      <c r="I256" s="190">
        <v>18</v>
      </c>
      <c r="J256" s="190">
        <v>22</v>
      </c>
      <c r="K256" s="195">
        <f t="shared" si="12"/>
        <v>41</v>
      </c>
      <c r="L256" s="190">
        <v>15</v>
      </c>
      <c r="M256" s="190">
        <v>26</v>
      </c>
      <c r="N256" s="195">
        <f t="shared" si="13"/>
        <v>24</v>
      </c>
      <c r="O256" s="190">
        <v>11</v>
      </c>
      <c r="P256" s="193">
        <v>13</v>
      </c>
      <c r="Q256" s="192">
        <f t="shared" si="14"/>
        <v>35</v>
      </c>
      <c r="R256" s="190">
        <v>15</v>
      </c>
      <c r="S256" s="190">
        <v>20</v>
      </c>
    </row>
    <row r="257" spans="2:19" x14ac:dyDescent="0.2">
      <c r="B257" s="775"/>
      <c r="C257" s="775"/>
      <c r="D257" s="190">
        <v>23</v>
      </c>
      <c r="E257" s="195">
        <v>20</v>
      </c>
      <c r="F257" s="190">
        <v>6</v>
      </c>
      <c r="G257" s="426">
        <v>14</v>
      </c>
      <c r="H257" s="192">
        <v>26</v>
      </c>
      <c r="I257" s="190">
        <v>11</v>
      </c>
      <c r="J257" s="190">
        <v>15</v>
      </c>
      <c r="K257" s="195">
        <f t="shared" si="12"/>
        <v>29</v>
      </c>
      <c r="L257" s="190">
        <v>12</v>
      </c>
      <c r="M257" s="190">
        <v>17</v>
      </c>
      <c r="N257" s="195">
        <f t="shared" si="13"/>
        <v>26</v>
      </c>
      <c r="O257" s="190">
        <v>10</v>
      </c>
      <c r="P257" s="193">
        <v>16</v>
      </c>
      <c r="Q257" s="192">
        <f t="shared" si="14"/>
        <v>19</v>
      </c>
      <c r="R257" s="190">
        <v>9</v>
      </c>
      <c r="S257" s="190">
        <v>10</v>
      </c>
    </row>
    <row r="258" spans="2:19" x14ac:dyDescent="0.2">
      <c r="B258" s="775"/>
      <c r="C258" s="775"/>
      <c r="D258" s="190">
        <v>24</v>
      </c>
      <c r="E258" s="195">
        <v>12</v>
      </c>
      <c r="F258" s="190">
        <v>5</v>
      </c>
      <c r="G258" s="426">
        <v>7</v>
      </c>
      <c r="H258" s="192">
        <v>15</v>
      </c>
      <c r="I258" s="190">
        <v>2</v>
      </c>
      <c r="J258" s="190">
        <v>13</v>
      </c>
      <c r="K258" s="195">
        <f t="shared" si="12"/>
        <v>14</v>
      </c>
      <c r="L258" s="190">
        <v>6</v>
      </c>
      <c r="M258" s="190">
        <v>8</v>
      </c>
      <c r="N258" s="195">
        <f t="shared" si="13"/>
        <v>10</v>
      </c>
      <c r="O258" s="190">
        <v>3</v>
      </c>
      <c r="P258" s="193">
        <v>7</v>
      </c>
      <c r="Q258" s="192">
        <f t="shared" si="14"/>
        <v>15</v>
      </c>
      <c r="R258" s="190">
        <v>5</v>
      </c>
      <c r="S258" s="190">
        <v>10</v>
      </c>
    </row>
    <row r="259" spans="2:19" x14ac:dyDescent="0.2">
      <c r="B259" s="775"/>
      <c r="C259" s="775"/>
      <c r="D259" s="190">
        <v>25</v>
      </c>
      <c r="E259" s="195">
        <v>10</v>
      </c>
      <c r="F259" s="190">
        <v>3</v>
      </c>
      <c r="G259" s="426">
        <v>7</v>
      </c>
      <c r="H259" s="192">
        <v>12</v>
      </c>
      <c r="I259" s="190">
        <v>5</v>
      </c>
      <c r="J259" s="190">
        <v>7</v>
      </c>
      <c r="K259" s="195">
        <f t="shared" si="12"/>
        <v>11</v>
      </c>
      <c r="L259" s="190">
        <v>2</v>
      </c>
      <c r="M259" s="190">
        <v>9</v>
      </c>
      <c r="N259" s="195">
        <f t="shared" si="13"/>
        <v>8</v>
      </c>
      <c r="O259" s="190">
        <v>3</v>
      </c>
      <c r="P259" s="193">
        <v>5</v>
      </c>
      <c r="Q259" s="192">
        <f t="shared" si="14"/>
        <v>6</v>
      </c>
      <c r="R259" s="190">
        <v>2</v>
      </c>
      <c r="S259" s="190">
        <v>4</v>
      </c>
    </row>
    <row r="260" spans="2:19" x14ac:dyDescent="0.2">
      <c r="B260" s="775"/>
      <c r="C260" s="775"/>
      <c r="D260" s="190">
        <v>26</v>
      </c>
      <c r="E260" s="195">
        <v>9</v>
      </c>
      <c r="F260" s="190">
        <v>2</v>
      </c>
      <c r="G260" s="426">
        <v>7</v>
      </c>
      <c r="H260" s="192">
        <v>5</v>
      </c>
      <c r="I260" s="190">
        <v>1</v>
      </c>
      <c r="J260" s="190">
        <v>4</v>
      </c>
      <c r="K260" s="195">
        <f t="shared" si="12"/>
        <v>8</v>
      </c>
      <c r="L260" s="190">
        <v>5</v>
      </c>
      <c r="M260" s="190">
        <v>3</v>
      </c>
      <c r="N260" s="195">
        <f t="shared" si="13"/>
        <v>9</v>
      </c>
      <c r="O260" s="190">
        <v>2</v>
      </c>
      <c r="P260" s="193">
        <v>7</v>
      </c>
      <c r="Q260" s="192">
        <f t="shared" si="14"/>
        <v>3</v>
      </c>
      <c r="R260" s="190">
        <v>2</v>
      </c>
      <c r="S260" s="190">
        <v>1</v>
      </c>
    </row>
    <row r="261" spans="2:19" x14ac:dyDescent="0.2">
      <c r="B261" s="775"/>
      <c r="C261" s="775"/>
      <c r="D261" s="190">
        <v>27</v>
      </c>
      <c r="E261" s="195">
        <v>9</v>
      </c>
      <c r="F261" s="190">
        <v>4</v>
      </c>
      <c r="G261" s="426">
        <v>5</v>
      </c>
      <c r="H261" s="192">
        <v>5</v>
      </c>
      <c r="I261" s="190">
        <v>0</v>
      </c>
      <c r="J261" s="190">
        <v>5</v>
      </c>
      <c r="K261" s="195">
        <f t="shared" si="12"/>
        <v>4</v>
      </c>
      <c r="L261" s="190">
        <v>1</v>
      </c>
      <c r="M261" s="190">
        <v>3</v>
      </c>
      <c r="N261" s="195">
        <f t="shared" si="13"/>
        <v>3</v>
      </c>
      <c r="O261" s="190">
        <v>1</v>
      </c>
      <c r="P261" s="193">
        <v>2</v>
      </c>
      <c r="Q261" s="192">
        <f t="shared" si="14"/>
        <v>4</v>
      </c>
      <c r="R261" s="190">
        <v>0</v>
      </c>
      <c r="S261" s="190">
        <v>4</v>
      </c>
    </row>
    <row r="262" spans="2:19" x14ac:dyDescent="0.2">
      <c r="B262" s="775"/>
      <c r="C262" s="775"/>
      <c r="D262" s="190">
        <v>28</v>
      </c>
      <c r="E262" s="195">
        <v>4</v>
      </c>
      <c r="F262" s="190">
        <v>1</v>
      </c>
      <c r="G262" s="426">
        <v>3</v>
      </c>
      <c r="H262" s="192">
        <v>7</v>
      </c>
      <c r="I262" s="190">
        <v>3</v>
      </c>
      <c r="J262" s="190">
        <v>4</v>
      </c>
      <c r="K262" s="195">
        <f t="shared" si="12"/>
        <v>4</v>
      </c>
      <c r="L262" s="190">
        <v>0</v>
      </c>
      <c r="M262" s="190">
        <v>4</v>
      </c>
      <c r="N262" s="195">
        <f t="shared" si="13"/>
        <v>2</v>
      </c>
      <c r="O262" s="190"/>
      <c r="P262" s="193">
        <v>2</v>
      </c>
      <c r="Q262" s="192">
        <f t="shared" si="14"/>
        <v>4</v>
      </c>
      <c r="R262" s="190">
        <v>1</v>
      </c>
      <c r="S262" s="190">
        <v>3</v>
      </c>
    </row>
    <row r="263" spans="2:19" x14ac:dyDescent="0.2">
      <c r="B263" s="775"/>
      <c r="C263" s="775"/>
      <c r="D263" s="190">
        <v>29</v>
      </c>
      <c r="E263" s="195">
        <v>1</v>
      </c>
      <c r="F263" s="190">
        <v>0</v>
      </c>
      <c r="G263" s="426">
        <v>1</v>
      </c>
      <c r="H263" s="192">
        <v>1</v>
      </c>
      <c r="I263" s="190">
        <v>0</v>
      </c>
      <c r="J263" s="190">
        <v>1</v>
      </c>
      <c r="K263" s="195">
        <f t="shared" si="12"/>
        <v>6</v>
      </c>
      <c r="L263" s="190">
        <v>2</v>
      </c>
      <c r="M263" s="190">
        <v>4</v>
      </c>
      <c r="N263" s="195">
        <f t="shared" si="13"/>
        <v>3</v>
      </c>
      <c r="O263" s="190"/>
      <c r="P263" s="193">
        <v>3</v>
      </c>
      <c r="Q263" s="192">
        <f t="shared" si="14"/>
        <v>1</v>
      </c>
      <c r="R263" s="190">
        <v>1</v>
      </c>
      <c r="S263" s="190">
        <v>0</v>
      </c>
    </row>
    <row r="264" spans="2:19" x14ac:dyDescent="0.2">
      <c r="B264" s="775"/>
      <c r="C264" s="775"/>
      <c r="D264" s="190" t="s">
        <v>72</v>
      </c>
      <c r="E264" s="195">
        <v>1</v>
      </c>
      <c r="F264" s="190">
        <v>1</v>
      </c>
      <c r="G264" s="426">
        <v>0</v>
      </c>
      <c r="H264" s="192">
        <v>2</v>
      </c>
      <c r="I264" s="190">
        <v>1</v>
      </c>
      <c r="J264" s="190">
        <v>1</v>
      </c>
      <c r="K264" s="195">
        <f t="shared" si="12"/>
        <v>4</v>
      </c>
      <c r="L264" s="190">
        <v>1</v>
      </c>
      <c r="M264" s="190">
        <v>3</v>
      </c>
      <c r="N264" s="195">
        <f t="shared" si="13"/>
        <v>7</v>
      </c>
      <c r="O264" s="190">
        <v>3</v>
      </c>
      <c r="P264" s="193">
        <v>4</v>
      </c>
      <c r="Q264" s="192">
        <f t="shared" si="14"/>
        <v>5</v>
      </c>
      <c r="R264" s="190">
        <v>0</v>
      </c>
      <c r="S264" s="190">
        <v>5</v>
      </c>
    </row>
    <row r="265" spans="2:19" x14ac:dyDescent="0.2">
      <c r="B265" s="775"/>
      <c r="C265" s="775"/>
      <c r="D265" s="190" t="s">
        <v>73</v>
      </c>
      <c r="E265" s="195">
        <v>5</v>
      </c>
      <c r="F265" s="190">
        <v>3</v>
      </c>
      <c r="G265" s="426">
        <v>2</v>
      </c>
      <c r="H265" s="192">
        <v>2</v>
      </c>
      <c r="I265" s="190">
        <v>2</v>
      </c>
      <c r="J265" s="190">
        <v>0</v>
      </c>
      <c r="K265" s="195">
        <f t="shared" si="12"/>
        <v>0</v>
      </c>
      <c r="L265" s="190">
        <v>0</v>
      </c>
      <c r="M265" s="190">
        <v>0</v>
      </c>
      <c r="N265" s="195">
        <f t="shared" si="13"/>
        <v>2</v>
      </c>
      <c r="O265" s="190">
        <v>1</v>
      </c>
      <c r="P265" s="193">
        <v>1</v>
      </c>
      <c r="Q265" s="192">
        <f t="shared" si="14"/>
        <v>2</v>
      </c>
      <c r="R265" s="190">
        <v>1</v>
      </c>
      <c r="S265" s="190">
        <v>1</v>
      </c>
    </row>
    <row r="266" spans="2:19" x14ac:dyDescent="0.2">
      <c r="B266" s="775"/>
      <c r="C266" s="775"/>
      <c r="D266" s="200" t="s">
        <v>74</v>
      </c>
      <c r="E266" s="202">
        <v>3</v>
      </c>
      <c r="F266" s="200">
        <v>2</v>
      </c>
      <c r="G266" s="427">
        <v>1</v>
      </c>
      <c r="H266" s="204">
        <v>2</v>
      </c>
      <c r="I266" s="200">
        <v>2</v>
      </c>
      <c r="J266" s="190">
        <v>0</v>
      </c>
      <c r="K266" s="195">
        <f t="shared" si="12"/>
        <v>2</v>
      </c>
      <c r="L266" s="200">
        <v>2</v>
      </c>
      <c r="M266" s="190">
        <v>0</v>
      </c>
      <c r="N266" s="195">
        <f t="shared" si="13"/>
        <v>1</v>
      </c>
      <c r="O266" s="200">
        <v>1</v>
      </c>
      <c r="P266" s="203"/>
      <c r="Q266" s="192">
        <f t="shared" si="14"/>
        <v>1</v>
      </c>
      <c r="R266" s="190">
        <v>1</v>
      </c>
      <c r="S266" s="200">
        <v>0</v>
      </c>
    </row>
    <row r="267" spans="2:19" ht="16" thickBot="1" x14ac:dyDescent="0.25">
      <c r="B267" s="776"/>
      <c r="C267" s="776"/>
      <c r="D267" s="196" t="s">
        <v>70</v>
      </c>
      <c r="E267" s="197">
        <f>SUM(F267+G267)</f>
        <v>240</v>
      </c>
      <c r="F267" s="283">
        <f>SUM(F252:F266)</f>
        <v>104</v>
      </c>
      <c r="G267" s="430">
        <f>SUM(G252:G266)</f>
        <v>136</v>
      </c>
      <c r="H267" s="197">
        <f>SUM(I267+J267)</f>
        <v>240</v>
      </c>
      <c r="I267" s="283">
        <f>SUM(I252:I266)</f>
        <v>103</v>
      </c>
      <c r="J267" s="283">
        <f>SUM(J252:J266)</f>
        <v>137</v>
      </c>
      <c r="K267" s="197">
        <f>SUM(L267+M267)</f>
        <v>240</v>
      </c>
      <c r="L267" s="283">
        <f>SUM(L252:L266)</f>
        <v>104</v>
      </c>
      <c r="M267" s="283">
        <f>SUM(M252:M266)</f>
        <v>136</v>
      </c>
      <c r="N267" s="197">
        <f>SUM(O267+P267)</f>
        <v>236</v>
      </c>
      <c r="O267" s="283">
        <f>SUM(O252:O266)</f>
        <v>108</v>
      </c>
      <c r="P267" s="283">
        <f>SUM(P252:P266)</f>
        <v>128</v>
      </c>
      <c r="Q267" s="197">
        <f>SUM(R267+S267)</f>
        <v>235</v>
      </c>
      <c r="R267" s="283">
        <f>SUM(R252:R266)</f>
        <v>106</v>
      </c>
      <c r="S267" s="283">
        <f>SUM(S252:S266)</f>
        <v>129</v>
      </c>
    </row>
    <row r="268" spans="2:19" x14ac:dyDescent="0.2"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2:19" x14ac:dyDescent="0.2">
      <c r="B269" s="740" t="s">
        <v>2</v>
      </c>
      <c r="C269" s="740"/>
      <c r="D269" s="740" t="s">
        <v>69</v>
      </c>
      <c r="E269" s="752" t="s">
        <v>909</v>
      </c>
      <c r="F269" s="752"/>
      <c r="G269" s="752"/>
      <c r="H269" s="752"/>
      <c r="I269" s="752"/>
      <c r="J269" s="752"/>
      <c r="K269" s="752"/>
      <c r="L269" s="752"/>
      <c r="M269" s="752"/>
    </row>
    <row r="270" spans="2:19" x14ac:dyDescent="0.2">
      <c r="B270" s="741"/>
      <c r="C270" s="741"/>
      <c r="D270" s="741"/>
      <c r="E270" s="747" t="s">
        <v>917</v>
      </c>
      <c r="F270" s="747"/>
      <c r="G270" s="747"/>
      <c r="H270" s="747" t="s">
        <v>987</v>
      </c>
      <c r="I270" s="747"/>
      <c r="J270" s="747"/>
      <c r="K270" s="747" t="s">
        <v>1171</v>
      </c>
      <c r="L270" s="747"/>
      <c r="M270" s="747"/>
    </row>
    <row r="271" spans="2:19" ht="15.75" customHeight="1" x14ac:dyDescent="0.2">
      <c r="B271" s="774" t="s">
        <v>931</v>
      </c>
      <c r="C271" s="774"/>
      <c r="D271" s="190"/>
      <c r="E271" s="205" t="s">
        <v>78</v>
      </c>
      <c r="F271" s="205" t="s">
        <v>849</v>
      </c>
      <c r="G271" s="205" t="s">
        <v>850</v>
      </c>
      <c r="H271" s="205" t="s">
        <v>78</v>
      </c>
      <c r="I271" s="205" t="s">
        <v>849</v>
      </c>
      <c r="J271" s="205" t="s">
        <v>850</v>
      </c>
      <c r="K271" s="205" t="s">
        <v>78</v>
      </c>
      <c r="L271" s="205" t="s">
        <v>849</v>
      </c>
      <c r="M271" s="205" t="s">
        <v>850</v>
      </c>
    </row>
    <row r="272" spans="2:19" ht="13.5" customHeight="1" x14ac:dyDescent="0.2">
      <c r="B272" s="775"/>
      <c r="C272" s="775"/>
      <c r="D272" s="190" t="s">
        <v>71</v>
      </c>
      <c r="E272" s="195">
        <f>SUM(F272:G272)</f>
        <v>1</v>
      </c>
      <c r="F272" s="190">
        <v>0</v>
      </c>
      <c r="G272" s="190">
        <v>1</v>
      </c>
      <c r="H272" s="195">
        <f>SUM(I272:J272)</f>
        <v>6</v>
      </c>
      <c r="I272" s="190">
        <v>1</v>
      </c>
      <c r="J272" s="193">
        <v>5</v>
      </c>
      <c r="K272" s="192">
        <f>SUM(L272:M272)</f>
        <v>5</v>
      </c>
      <c r="L272" s="190">
        <v>0</v>
      </c>
      <c r="M272" s="190">
        <v>5</v>
      </c>
    </row>
    <row r="273" spans="2:13" x14ac:dyDescent="0.2">
      <c r="B273" s="775"/>
      <c r="C273" s="775"/>
      <c r="D273" s="190">
        <v>19</v>
      </c>
      <c r="E273" s="195">
        <f t="shared" ref="E273:E286" si="15">SUM(F273:G273)</f>
        <v>3</v>
      </c>
      <c r="F273" s="190">
        <v>1</v>
      </c>
      <c r="G273" s="190">
        <v>2</v>
      </c>
      <c r="H273" s="195">
        <f t="shared" ref="H273:H286" si="16">SUM(I273:J273)</f>
        <v>2</v>
      </c>
      <c r="I273" s="190">
        <v>0</v>
      </c>
      <c r="J273" s="193">
        <v>2</v>
      </c>
      <c r="K273" s="192">
        <f t="shared" ref="K273:K286" si="17">SUM(L273:M273)</f>
        <v>7</v>
      </c>
      <c r="L273" s="190">
        <v>1</v>
      </c>
      <c r="M273" s="190">
        <v>6</v>
      </c>
    </row>
    <row r="274" spans="2:13" x14ac:dyDescent="0.2">
      <c r="B274" s="775"/>
      <c r="C274" s="775"/>
      <c r="D274" s="190">
        <v>20</v>
      </c>
      <c r="E274" s="195">
        <f t="shared" si="15"/>
        <v>1</v>
      </c>
      <c r="F274" s="190">
        <v>0</v>
      </c>
      <c r="G274" s="190">
        <v>1</v>
      </c>
      <c r="H274" s="195">
        <f t="shared" si="16"/>
        <v>4</v>
      </c>
      <c r="I274" s="190">
        <v>1</v>
      </c>
      <c r="J274" s="193">
        <v>3</v>
      </c>
      <c r="K274" s="192">
        <f t="shared" si="17"/>
        <v>1</v>
      </c>
      <c r="L274" s="190">
        <v>0</v>
      </c>
      <c r="M274" s="190">
        <v>1</v>
      </c>
    </row>
    <row r="275" spans="2:13" x14ac:dyDescent="0.2">
      <c r="B275" s="775"/>
      <c r="C275" s="775"/>
      <c r="D275" s="190">
        <v>21</v>
      </c>
      <c r="E275" s="195">
        <f t="shared" si="15"/>
        <v>1</v>
      </c>
      <c r="F275" s="190">
        <v>0</v>
      </c>
      <c r="G275" s="190">
        <v>1</v>
      </c>
      <c r="H275" s="195">
        <f t="shared" si="16"/>
        <v>2</v>
      </c>
      <c r="I275" s="190">
        <v>0</v>
      </c>
      <c r="J275" s="193">
        <v>2</v>
      </c>
      <c r="K275" s="192">
        <f t="shared" si="17"/>
        <v>2</v>
      </c>
      <c r="L275" s="190">
        <v>1</v>
      </c>
      <c r="M275" s="190">
        <v>1</v>
      </c>
    </row>
    <row r="276" spans="2:13" x14ac:dyDescent="0.2">
      <c r="B276" s="775"/>
      <c r="C276" s="775"/>
      <c r="D276" s="190">
        <v>22</v>
      </c>
      <c r="E276" s="195">
        <f t="shared" si="15"/>
        <v>0</v>
      </c>
      <c r="F276" s="190">
        <v>0</v>
      </c>
      <c r="G276" s="190">
        <v>0</v>
      </c>
      <c r="H276" s="195">
        <f t="shared" si="16"/>
        <v>1</v>
      </c>
      <c r="I276" s="190">
        <v>0</v>
      </c>
      <c r="J276" s="193">
        <v>1</v>
      </c>
      <c r="K276" s="192">
        <f t="shared" si="17"/>
        <v>2</v>
      </c>
      <c r="L276" s="190">
        <v>1</v>
      </c>
      <c r="M276" s="190">
        <v>1</v>
      </c>
    </row>
    <row r="277" spans="2:13" x14ac:dyDescent="0.2">
      <c r="B277" s="775"/>
      <c r="C277" s="775"/>
      <c r="D277" s="190">
        <v>23</v>
      </c>
      <c r="E277" s="195">
        <f t="shared" si="15"/>
        <v>2</v>
      </c>
      <c r="F277" s="190">
        <v>1</v>
      </c>
      <c r="G277" s="190">
        <v>1</v>
      </c>
      <c r="H277" s="195">
        <f t="shared" si="16"/>
        <v>0</v>
      </c>
      <c r="I277" s="190">
        <v>0</v>
      </c>
      <c r="J277" s="193">
        <v>0</v>
      </c>
      <c r="K277" s="192">
        <f t="shared" si="17"/>
        <v>1</v>
      </c>
      <c r="L277" s="190">
        <v>0</v>
      </c>
      <c r="M277" s="190">
        <v>1</v>
      </c>
    </row>
    <row r="278" spans="2:13" x14ac:dyDescent="0.2">
      <c r="B278" s="775"/>
      <c r="C278" s="775"/>
      <c r="D278" s="190">
        <v>24</v>
      </c>
      <c r="E278" s="195">
        <f t="shared" si="15"/>
        <v>0</v>
      </c>
      <c r="F278" s="190">
        <v>0</v>
      </c>
      <c r="G278" s="190">
        <v>0</v>
      </c>
      <c r="H278" s="195">
        <f t="shared" si="16"/>
        <v>0</v>
      </c>
      <c r="I278" s="190">
        <v>0</v>
      </c>
      <c r="J278" s="193">
        <v>0</v>
      </c>
      <c r="K278" s="192">
        <f t="shared" si="17"/>
        <v>1</v>
      </c>
      <c r="L278" s="190">
        <v>1</v>
      </c>
      <c r="M278" s="190">
        <v>0</v>
      </c>
    </row>
    <row r="279" spans="2:13" x14ac:dyDescent="0.2">
      <c r="B279" s="775"/>
      <c r="C279" s="775"/>
      <c r="D279" s="190">
        <v>25</v>
      </c>
      <c r="E279" s="195">
        <f t="shared" si="15"/>
        <v>0</v>
      </c>
      <c r="F279" s="190">
        <v>0</v>
      </c>
      <c r="G279" s="190">
        <v>0</v>
      </c>
      <c r="H279" s="195">
        <f t="shared" si="16"/>
        <v>0</v>
      </c>
      <c r="I279" s="190">
        <v>0</v>
      </c>
      <c r="J279" s="193">
        <v>0</v>
      </c>
      <c r="K279" s="192">
        <f t="shared" si="17"/>
        <v>1</v>
      </c>
      <c r="L279" s="190">
        <v>0</v>
      </c>
      <c r="M279" s="190">
        <v>1</v>
      </c>
    </row>
    <row r="280" spans="2:13" x14ac:dyDescent="0.2">
      <c r="B280" s="775"/>
      <c r="C280" s="775"/>
      <c r="D280" s="190">
        <v>26</v>
      </c>
      <c r="E280" s="195">
        <f t="shared" si="15"/>
        <v>0</v>
      </c>
      <c r="F280" s="190">
        <v>0</v>
      </c>
      <c r="G280" s="190">
        <v>0</v>
      </c>
      <c r="H280" s="195">
        <f t="shared" si="16"/>
        <v>0</v>
      </c>
      <c r="I280" s="190">
        <v>0</v>
      </c>
      <c r="J280" s="193">
        <v>0</v>
      </c>
      <c r="K280" s="192">
        <f t="shared" si="17"/>
        <v>1</v>
      </c>
      <c r="L280" s="190">
        <v>0</v>
      </c>
      <c r="M280" s="190">
        <v>1</v>
      </c>
    </row>
    <row r="281" spans="2:13" x14ac:dyDescent="0.2">
      <c r="B281" s="775"/>
      <c r="C281" s="775"/>
      <c r="D281" s="190">
        <v>27</v>
      </c>
      <c r="E281" s="195">
        <f t="shared" si="15"/>
        <v>0</v>
      </c>
      <c r="F281" s="190">
        <v>0</v>
      </c>
      <c r="G281" s="190">
        <v>0</v>
      </c>
      <c r="H281" s="195">
        <f t="shared" si="16"/>
        <v>0</v>
      </c>
      <c r="I281" s="190">
        <v>0</v>
      </c>
      <c r="J281" s="193">
        <v>0</v>
      </c>
      <c r="K281" s="192">
        <f t="shared" si="17"/>
        <v>0</v>
      </c>
      <c r="L281" s="190">
        <v>0</v>
      </c>
      <c r="M281" s="190">
        <v>0</v>
      </c>
    </row>
    <row r="282" spans="2:13" x14ac:dyDescent="0.2">
      <c r="B282" s="775"/>
      <c r="C282" s="775"/>
      <c r="D282" s="190">
        <v>28</v>
      </c>
      <c r="E282" s="195">
        <f t="shared" si="15"/>
        <v>0</v>
      </c>
      <c r="F282" s="190">
        <v>0</v>
      </c>
      <c r="G282" s="190">
        <v>0</v>
      </c>
      <c r="H282" s="195">
        <f t="shared" si="16"/>
        <v>0</v>
      </c>
      <c r="I282" s="190">
        <v>0</v>
      </c>
      <c r="J282" s="193">
        <v>0</v>
      </c>
      <c r="K282" s="192">
        <f t="shared" si="17"/>
        <v>0</v>
      </c>
      <c r="L282" s="190">
        <v>0</v>
      </c>
      <c r="M282" s="190">
        <v>0</v>
      </c>
    </row>
    <row r="283" spans="2:13" x14ac:dyDescent="0.2">
      <c r="B283" s="775"/>
      <c r="C283" s="775"/>
      <c r="D283" s="190">
        <v>29</v>
      </c>
      <c r="E283" s="195">
        <f t="shared" si="15"/>
        <v>0</v>
      </c>
      <c r="F283" s="190">
        <v>0</v>
      </c>
      <c r="G283" s="190">
        <v>0</v>
      </c>
      <c r="H283" s="195">
        <f t="shared" si="16"/>
        <v>0</v>
      </c>
      <c r="I283" s="190">
        <v>0</v>
      </c>
      <c r="J283" s="193">
        <v>0</v>
      </c>
      <c r="K283" s="192">
        <f t="shared" si="17"/>
        <v>0</v>
      </c>
      <c r="L283" s="190">
        <v>0</v>
      </c>
      <c r="M283" s="190">
        <v>0</v>
      </c>
    </row>
    <row r="284" spans="2:13" x14ac:dyDescent="0.2">
      <c r="B284" s="775"/>
      <c r="C284" s="775"/>
      <c r="D284" s="190" t="s">
        <v>72</v>
      </c>
      <c r="E284" s="195">
        <f t="shared" si="15"/>
        <v>0</v>
      </c>
      <c r="F284" s="190">
        <v>0</v>
      </c>
      <c r="G284" s="190">
        <v>0</v>
      </c>
      <c r="H284" s="195">
        <f t="shared" si="16"/>
        <v>1</v>
      </c>
      <c r="I284" s="190">
        <v>0</v>
      </c>
      <c r="J284" s="193">
        <v>1</v>
      </c>
      <c r="K284" s="192">
        <f t="shared" si="17"/>
        <v>0</v>
      </c>
      <c r="L284" s="190">
        <v>0</v>
      </c>
      <c r="M284" s="190">
        <v>0</v>
      </c>
    </row>
    <row r="285" spans="2:13" x14ac:dyDescent="0.2">
      <c r="B285" s="775"/>
      <c r="C285" s="775"/>
      <c r="D285" s="190" t="s">
        <v>73</v>
      </c>
      <c r="E285" s="195">
        <f t="shared" si="15"/>
        <v>0</v>
      </c>
      <c r="F285" s="190">
        <v>0</v>
      </c>
      <c r="G285" s="190">
        <v>0</v>
      </c>
      <c r="H285" s="195">
        <f t="shared" si="16"/>
        <v>0</v>
      </c>
      <c r="I285" s="190">
        <v>0</v>
      </c>
      <c r="J285" s="193">
        <v>0</v>
      </c>
      <c r="K285" s="192">
        <f t="shared" si="17"/>
        <v>0</v>
      </c>
      <c r="L285" s="190">
        <v>0</v>
      </c>
      <c r="M285" s="190">
        <v>0</v>
      </c>
    </row>
    <row r="286" spans="2:13" x14ac:dyDescent="0.2">
      <c r="B286" s="775"/>
      <c r="C286" s="775"/>
      <c r="D286" s="200" t="s">
        <v>74</v>
      </c>
      <c r="E286" s="195">
        <f t="shared" si="15"/>
        <v>0</v>
      </c>
      <c r="F286" s="200">
        <v>0</v>
      </c>
      <c r="G286" s="190">
        <v>0</v>
      </c>
      <c r="H286" s="195">
        <f t="shared" si="16"/>
        <v>0</v>
      </c>
      <c r="I286" s="200">
        <v>0</v>
      </c>
      <c r="J286" s="203">
        <v>0</v>
      </c>
      <c r="K286" s="192">
        <f t="shared" si="17"/>
        <v>0</v>
      </c>
      <c r="L286" s="190">
        <v>0</v>
      </c>
      <c r="M286" s="200">
        <v>0</v>
      </c>
    </row>
    <row r="287" spans="2:13" ht="16" thickBot="1" x14ac:dyDescent="0.25">
      <c r="B287" s="776"/>
      <c r="C287" s="776"/>
      <c r="D287" s="196" t="s">
        <v>70</v>
      </c>
      <c r="E287" s="197">
        <f>SUM(F287+G287)</f>
        <v>8</v>
      </c>
      <c r="F287" s="283">
        <f>SUM(F272:F286)</f>
        <v>2</v>
      </c>
      <c r="G287" s="283">
        <f>SUM(G272:G286)</f>
        <v>6</v>
      </c>
      <c r="H287" s="197">
        <f>SUM(I287+J287)</f>
        <v>16</v>
      </c>
      <c r="I287" s="283">
        <f>SUM(I272:I286)</f>
        <v>2</v>
      </c>
      <c r="J287" s="283">
        <f>SUM(J272:J286)</f>
        <v>14</v>
      </c>
      <c r="K287" s="197">
        <f>SUM(L287+M287)</f>
        <v>21</v>
      </c>
      <c r="L287" s="283">
        <f>SUM(L272:L286)</f>
        <v>4</v>
      </c>
      <c r="M287" s="283">
        <f>SUM(M272:M286)</f>
        <v>17</v>
      </c>
    </row>
    <row r="288" spans="2:13" x14ac:dyDescent="0.2">
      <c r="B288" s="3" t="s">
        <v>1483</v>
      </c>
      <c r="F288" s="14"/>
      <c r="G288" s="14"/>
      <c r="I288" s="14"/>
      <c r="J288" s="14"/>
      <c r="L288" s="14"/>
      <c r="M288" s="14"/>
    </row>
    <row r="289" spans="2:11" x14ac:dyDescent="0.2">
      <c r="B289" s="3" t="s">
        <v>42</v>
      </c>
    </row>
    <row r="290" spans="2:11" x14ac:dyDescent="0.2">
      <c r="B290" s="7"/>
    </row>
    <row r="292" spans="2:11" x14ac:dyDescent="0.2">
      <c r="B292" s="15" t="s">
        <v>815</v>
      </c>
      <c r="C292" s="15"/>
      <c r="D292" s="15"/>
      <c r="E292" s="15"/>
      <c r="F292" s="15"/>
      <c r="G292" s="15"/>
      <c r="H292" s="2"/>
      <c r="K292" t="s">
        <v>930</v>
      </c>
    </row>
    <row r="293" spans="2:11" x14ac:dyDescent="0.2">
      <c r="B293" s="734" t="s">
        <v>75</v>
      </c>
      <c r="C293" s="734"/>
      <c r="D293" s="734"/>
      <c r="E293" s="734"/>
      <c r="F293" s="170" t="s">
        <v>5</v>
      </c>
      <c r="G293" s="170" t="s">
        <v>6</v>
      </c>
      <c r="H293" s="170" t="s">
        <v>912</v>
      </c>
      <c r="I293" s="170" t="s">
        <v>985</v>
      </c>
      <c r="J293" s="170" t="s">
        <v>1169</v>
      </c>
    </row>
    <row r="294" spans="2:11" ht="13.5" customHeight="1" thickBot="1" x14ac:dyDescent="0.25">
      <c r="B294" s="765" t="s">
        <v>7</v>
      </c>
      <c r="C294" s="765"/>
      <c r="D294" s="782" t="s">
        <v>76</v>
      </c>
      <c r="E294" s="782"/>
      <c r="F294" s="25">
        <v>95</v>
      </c>
      <c r="G294" s="25">
        <v>104</v>
      </c>
      <c r="H294" s="25">
        <v>133</v>
      </c>
      <c r="I294" s="25">
        <v>143</v>
      </c>
      <c r="J294" s="25">
        <v>152</v>
      </c>
    </row>
    <row r="295" spans="2:11" ht="16" thickBot="1" x14ac:dyDescent="0.25">
      <c r="B295" s="765"/>
      <c r="C295" s="765"/>
      <c r="D295" s="781" t="s">
        <v>77</v>
      </c>
      <c r="E295" s="781"/>
      <c r="F295" s="25">
        <v>4</v>
      </c>
      <c r="G295" s="25">
        <v>4</v>
      </c>
      <c r="H295" s="25">
        <v>3</v>
      </c>
      <c r="I295" s="25">
        <v>3</v>
      </c>
      <c r="J295" s="25">
        <v>6</v>
      </c>
    </row>
    <row r="296" spans="2:11" ht="16" thickBot="1" x14ac:dyDescent="0.25">
      <c r="B296" s="766"/>
      <c r="C296" s="766"/>
      <c r="D296" s="780" t="s">
        <v>78</v>
      </c>
      <c r="E296" s="780"/>
      <c r="F296" s="284">
        <f>SUM(F294:F295)</f>
        <v>99</v>
      </c>
      <c r="G296" s="284">
        <f>SUM(G294:G295)</f>
        <v>108</v>
      </c>
      <c r="H296" s="284">
        <f>SUM(H294:H295)</f>
        <v>136</v>
      </c>
      <c r="I296" s="284">
        <f>SUM(I294:I295)</f>
        <v>146</v>
      </c>
      <c r="J296" s="284">
        <f>SUM(J294:J295)</f>
        <v>158</v>
      </c>
    </row>
    <row r="297" spans="2:11" x14ac:dyDescent="0.2">
      <c r="C297" s="13"/>
      <c r="D297" s="13"/>
      <c r="E297" s="13"/>
      <c r="F297" s="13"/>
    </row>
    <row r="298" spans="2:11" x14ac:dyDescent="0.2">
      <c r="B298" s="734" t="s">
        <v>75</v>
      </c>
      <c r="C298" s="734"/>
      <c r="D298" s="734"/>
      <c r="E298" s="734"/>
      <c r="F298" s="170" t="s">
        <v>5</v>
      </c>
      <c r="G298" s="170" t="s">
        <v>6</v>
      </c>
      <c r="H298" s="170" t="s">
        <v>912</v>
      </c>
      <c r="I298" s="170" t="s">
        <v>985</v>
      </c>
      <c r="J298" s="170" t="s">
        <v>1169</v>
      </c>
    </row>
    <row r="299" spans="2:11" ht="13.5" customHeight="1" thickBot="1" x14ac:dyDescent="0.25">
      <c r="B299" s="765" t="s">
        <v>8</v>
      </c>
      <c r="C299" s="765"/>
      <c r="D299" s="782" t="s">
        <v>76</v>
      </c>
      <c r="E299" s="782"/>
      <c r="F299" s="25">
        <v>221</v>
      </c>
      <c r="G299" s="25">
        <v>226</v>
      </c>
      <c r="H299" s="25">
        <v>238</v>
      </c>
      <c r="I299" s="25">
        <v>233</v>
      </c>
      <c r="J299" s="25">
        <v>234</v>
      </c>
    </row>
    <row r="300" spans="2:11" ht="16" thickBot="1" x14ac:dyDescent="0.25">
      <c r="B300" s="765"/>
      <c r="C300" s="765"/>
      <c r="D300" s="781" t="s">
        <v>77</v>
      </c>
      <c r="E300" s="781"/>
      <c r="F300" s="25">
        <v>19</v>
      </c>
      <c r="G300" s="25">
        <v>14</v>
      </c>
      <c r="H300" s="25">
        <v>2</v>
      </c>
      <c r="I300" s="25">
        <v>3</v>
      </c>
      <c r="J300" s="25">
        <v>1</v>
      </c>
    </row>
    <row r="301" spans="2:11" ht="16" thickBot="1" x14ac:dyDescent="0.25">
      <c r="B301" s="766"/>
      <c r="C301" s="766"/>
      <c r="D301" s="780" t="s">
        <v>78</v>
      </c>
      <c r="E301" s="780"/>
      <c r="F301" s="284">
        <v>240</v>
      </c>
      <c r="G301" s="284">
        <v>240</v>
      </c>
      <c r="H301" s="284">
        <f>SUM(H299:H300)</f>
        <v>240</v>
      </c>
      <c r="I301" s="284">
        <f>SUM(I299:I300)</f>
        <v>236</v>
      </c>
      <c r="J301" s="284">
        <f>SUM(J299:J300)</f>
        <v>235</v>
      </c>
    </row>
    <row r="303" spans="2:11" x14ac:dyDescent="0.2">
      <c r="B303" s="734" t="s">
        <v>75</v>
      </c>
      <c r="C303" s="734"/>
      <c r="D303" s="734"/>
      <c r="E303" s="734"/>
      <c r="F303" s="170" t="s">
        <v>912</v>
      </c>
      <c r="G303" s="170" t="s">
        <v>985</v>
      </c>
      <c r="H303" s="170" t="s">
        <v>1169</v>
      </c>
    </row>
    <row r="304" spans="2:11" ht="13.5" customHeight="1" thickBot="1" x14ac:dyDescent="0.25">
      <c r="B304" s="765" t="s">
        <v>931</v>
      </c>
      <c r="C304" s="765"/>
      <c r="D304" s="782" t="s">
        <v>76</v>
      </c>
      <c r="E304" s="782"/>
      <c r="F304" s="25">
        <v>8</v>
      </c>
      <c r="G304" s="25">
        <v>16</v>
      </c>
      <c r="H304" s="25">
        <v>21</v>
      </c>
    </row>
    <row r="305" spans="2:26" ht="16" thickBot="1" x14ac:dyDescent="0.25">
      <c r="B305" s="765"/>
      <c r="C305" s="765"/>
      <c r="D305" s="781" t="s">
        <v>77</v>
      </c>
      <c r="E305" s="781"/>
      <c r="F305" s="25">
        <v>0</v>
      </c>
      <c r="G305" s="25">
        <v>0</v>
      </c>
      <c r="H305" s="25">
        <v>0</v>
      </c>
    </row>
    <row r="306" spans="2:26" ht="16" thickBot="1" x14ac:dyDescent="0.25">
      <c r="B306" s="766"/>
      <c r="C306" s="766"/>
      <c r="D306" s="780" t="s">
        <v>78</v>
      </c>
      <c r="E306" s="780"/>
      <c r="F306" s="284">
        <f>SUM(F304:F305)</f>
        <v>8</v>
      </c>
      <c r="G306" s="284">
        <f>SUM(G304:G305)</f>
        <v>16</v>
      </c>
      <c r="H306" s="284">
        <f>SUM(H304:H305)</f>
        <v>21</v>
      </c>
    </row>
    <row r="307" spans="2:26" x14ac:dyDescent="0.2">
      <c r="B307" s="3" t="s">
        <v>1483</v>
      </c>
    </row>
    <row r="308" spans="2:26" ht="15.75" customHeight="1" x14ac:dyDescent="0.2">
      <c r="B308" s="3" t="s">
        <v>42</v>
      </c>
    </row>
    <row r="311" spans="2:26" x14ac:dyDescent="0.2">
      <c r="B311" s="5" t="s">
        <v>816</v>
      </c>
      <c r="C311" s="5"/>
      <c r="D311" s="5"/>
      <c r="E311" s="5"/>
      <c r="F311" s="5"/>
      <c r="G311" s="5"/>
      <c r="H311" s="5"/>
      <c r="I311" s="5"/>
      <c r="J311" s="15"/>
      <c r="K311" s="15"/>
      <c r="L311" t="s">
        <v>930</v>
      </c>
      <c r="Q311" s="2"/>
      <c r="R311" s="2"/>
      <c r="S311" s="2"/>
      <c r="T311" s="2"/>
      <c r="U311" s="2"/>
      <c r="V311" s="2"/>
      <c r="W311" s="2"/>
      <c r="X311" s="5"/>
      <c r="Y311" s="5"/>
      <c r="Z311" s="5"/>
    </row>
    <row r="312" spans="2:26" ht="23.25" customHeight="1" x14ac:dyDescent="0.2">
      <c r="B312" s="740" t="s">
        <v>75</v>
      </c>
      <c r="C312" s="740"/>
      <c r="D312" s="740" t="s">
        <v>79</v>
      </c>
      <c r="E312" s="740"/>
      <c r="F312" s="740" t="s">
        <v>80</v>
      </c>
      <c r="G312" s="740"/>
      <c r="H312" s="741" t="s">
        <v>81</v>
      </c>
      <c r="I312" s="741"/>
      <c r="J312" s="741"/>
      <c r="K312" s="741"/>
      <c r="L312" s="741"/>
    </row>
    <row r="313" spans="2:26" x14ac:dyDescent="0.2">
      <c r="B313" s="741"/>
      <c r="C313" s="741"/>
      <c r="D313" s="741"/>
      <c r="E313" s="741"/>
      <c r="F313" s="741"/>
      <c r="G313" s="741"/>
      <c r="H313" s="206" t="s">
        <v>5</v>
      </c>
      <c r="I313" s="206" t="s">
        <v>6</v>
      </c>
      <c r="J313" s="282" t="s">
        <v>912</v>
      </c>
      <c r="K313" s="282" t="s">
        <v>985</v>
      </c>
      <c r="L313" s="206" t="s">
        <v>1169</v>
      </c>
    </row>
    <row r="314" spans="2:26" ht="15.75" customHeight="1" thickBot="1" x14ac:dyDescent="0.25">
      <c r="B314" s="774" t="s">
        <v>7</v>
      </c>
      <c r="C314" s="783"/>
      <c r="D314" s="753" t="s">
        <v>82</v>
      </c>
      <c r="E314" s="754"/>
      <c r="F314" s="753" t="s">
        <v>83</v>
      </c>
      <c r="G314" s="754"/>
      <c r="H314" s="182" t="s">
        <v>52</v>
      </c>
      <c r="I314" s="182">
        <f>1/108</f>
        <v>9.2592592592592587E-3</v>
      </c>
      <c r="J314" s="411">
        <v>1.4705882352941176E-2</v>
      </c>
      <c r="K314" s="411">
        <v>1.3698630136986301E-2</v>
      </c>
      <c r="L314" s="411">
        <v>1.2658227848101266E-2</v>
      </c>
      <c r="N314" s="16"/>
      <c r="R314" s="13"/>
      <c r="S314" s="16"/>
    </row>
    <row r="315" spans="2:26" ht="16" thickBot="1" x14ac:dyDescent="0.25">
      <c r="B315" s="775"/>
      <c r="C315" s="784"/>
      <c r="D315" s="753" t="s">
        <v>82</v>
      </c>
      <c r="E315" s="754"/>
      <c r="F315" s="753" t="s">
        <v>84</v>
      </c>
      <c r="G315" s="754"/>
      <c r="H315" s="182">
        <v>1.01E-2</v>
      </c>
      <c r="I315" s="182">
        <f>1/108</f>
        <v>9.2592592592592587E-3</v>
      </c>
      <c r="J315" s="411">
        <v>7.3529411764705881E-3</v>
      </c>
      <c r="K315" s="411">
        <v>6.8493150684931503E-3</v>
      </c>
      <c r="L315" s="411">
        <v>6.3291139240506328E-3</v>
      </c>
      <c r="N315" s="16"/>
      <c r="R315" s="13"/>
      <c r="S315" s="16"/>
    </row>
    <row r="316" spans="2:26" ht="16" thickBot="1" x14ac:dyDescent="0.25">
      <c r="B316" s="775"/>
      <c r="C316" s="784"/>
      <c r="D316" s="753" t="s">
        <v>82</v>
      </c>
      <c r="E316" s="754"/>
      <c r="F316" s="748" t="s">
        <v>85</v>
      </c>
      <c r="G316" s="749"/>
      <c r="H316" s="182" t="s">
        <v>52</v>
      </c>
      <c r="I316" s="182" t="s">
        <v>52</v>
      </c>
      <c r="J316" s="411">
        <v>1.4705882352941176E-2</v>
      </c>
      <c r="K316" s="411" t="s">
        <v>52</v>
      </c>
      <c r="L316" s="411">
        <v>6.3291139240506328E-3</v>
      </c>
      <c r="N316" s="16"/>
      <c r="R316" s="13"/>
      <c r="S316" s="16"/>
    </row>
    <row r="317" spans="2:26" ht="16" thickBot="1" x14ac:dyDescent="0.25">
      <c r="B317" s="775"/>
      <c r="C317" s="784"/>
      <c r="D317" s="753" t="s">
        <v>82</v>
      </c>
      <c r="E317" s="754"/>
      <c r="F317" s="753" t="s">
        <v>86</v>
      </c>
      <c r="G317" s="754"/>
      <c r="H317" s="182">
        <v>1.01E-2</v>
      </c>
      <c r="I317" s="182">
        <f>1/108</f>
        <v>9.2592592592592587E-3</v>
      </c>
      <c r="J317" s="411">
        <v>7.3529411764705881E-3</v>
      </c>
      <c r="K317" s="411">
        <v>1.3698630136986301E-2</v>
      </c>
      <c r="L317" s="411">
        <v>1.2658227848101266E-2</v>
      </c>
      <c r="N317" s="16"/>
      <c r="R317" s="13"/>
      <c r="S317" s="16"/>
    </row>
    <row r="318" spans="2:26" ht="16" thickBot="1" x14ac:dyDescent="0.25">
      <c r="B318" s="775"/>
      <c r="C318" s="784"/>
      <c r="D318" s="753" t="s">
        <v>82</v>
      </c>
      <c r="E318" s="754"/>
      <c r="F318" s="748" t="s">
        <v>87</v>
      </c>
      <c r="G318" s="749"/>
      <c r="H318" s="182" t="s">
        <v>52</v>
      </c>
      <c r="I318" s="182" t="s">
        <v>52</v>
      </c>
      <c r="J318" s="411">
        <v>7.3529411764705881E-3</v>
      </c>
      <c r="K318" s="411">
        <v>6.8493150684931503E-3</v>
      </c>
      <c r="L318" s="411">
        <v>6.3291139240506328E-3</v>
      </c>
      <c r="N318" s="16"/>
      <c r="R318" s="13"/>
      <c r="S318" s="16"/>
    </row>
    <row r="319" spans="2:26" ht="16" thickBot="1" x14ac:dyDescent="0.25">
      <c r="B319" s="775"/>
      <c r="C319" s="784"/>
      <c r="D319" s="753" t="s">
        <v>82</v>
      </c>
      <c r="E319" s="754"/>
      <c r="F319" s="748" t="s">
        <v>88</v>
      </c>
      <c r="G319" s="749"/>
      <c r="H319" s="182">
        <v>1.01E-2</v>
      </c>
      <c r="I319" s="182">
        <f>1/108</f>
        <v>9.2592592592592587E-3</v>
      </c>
      <c r="J319" s="411" t="s">
        <v>52</v>
      </c>
      <c r="K319" s="411" t="s">
        <v>52</v>
      </c>
      <c r="L319" s="411" t="s">
        <v>52</v>
      </c>
      <c r="N319" s="16"/>
      <c r="R319" s="13"/>
      <c r="S319" s="16"/>
    </row>
    <row r="320" spans="2:26" ht="16" thickBot="1" x14ac:dyDescent="0.25">
      <c r="B320" s="775"/>
      <c r="C320" s="784"/>
      <c r="D320" s="753" t="s">
        <v>82</v>
      </c>
      <c r="E320" s="754"/>
      <c r="F320" s="750" t="s">
        <v>998</v>
      </c>
      <c r="G320" s="751"/>
      <c r="H320" s="182" t="s">
        <v>52</v>
      </c>
      <c r="I320" s="182" t="s">
        <v>52</v>
      </c>
      <c r="J320" s="182" t="s">
        <v>52</v>
      </c>
      <c r="K320" s="182">
        <v>6.8493150684931503E-3</v>
      </c>
      <c r="L320" s="411" t="s">
        <v>52</v>
      </c>
      <c r="N320" s="16"/>
      <c r="R320" s="13"/>
      <c r="S320" s="16"/>
    </row>
    <row r="321" spans="2:19" ht="16" thickBot="1" x14ac:dyDescent="0.25">
      <c r="B321" s="775"/>
      <c r="C321" s="784"/>
      <c r="D321" s="753" t="s">
        <v>82</v>
      </c>
      <c r="E321" s="754"/>
      <c r="F321" s="753" t="s">
        <v>89</v>
      </c>
      <c r="G321" s="754"/>
      <c r="H321" s="182" t="s">
        <v>52</v>
      </c>
      <c r="I321" s="182" t="s">
        <v>52</v>
      </c>
      <c r="J321" s="411" t="s">
        <v>52</v>
      </c>
      <c r="K321" s="411" t="s">
        <v>52</v>
      </c>
      <c r="L321" s="411" t="s">
        <v>52</v>
      </c>
      <c r="N321" s="16"/>
      <c r="R321" s="13"/>
      <c r="S321" s="16"/>
    </row>
    <row r="322" spans="2:19" ht="16" thickBot="1" x14ac:dyDescent="0.25">
      <c r="B322" s="775"/>
      <c r="C322" s="784"/>
      <c r="D322" s="753" t="s">
        <v>82</v>
      </c>
      <c r="E322" s="754"/>
      <c r="F322" s="753" t="s">
        <v>90</v>
      </c>
      <c r="G322" s="754"/>
      <c r="H322" s="182" t="s">
        <v>52</v>
      </c>
      <c r="I322" s="182" t="s">
        <v>52</v>
      </c>
      <c r="J322" s="411" t="s">
        <v>52</v>
      </c>
      <c r="K322" s="411" t="s">
        <v>52</v>
      </c>
      <c r="L322" s="411">
        <v>1.2658227848101266E-2</v>
      </c>
      <c r="N322" s="16"/>
      <c r="R322" s="13"/>
      <c r="S322" s="16"/>
    </row>
    <row r="323" spans="2:19" ht="16" thickBot="1" x14ac:dyDescent="0.25">
      <c r="B323" s="775"/>
      <c r="C323" s="784"/>
      <c r="D323" s="753" t="s">
        <v>82</v>
      </c>
      <c r="E323" s="754"/>
      <c r="F323" s="748" t="s">
        <v>91</v>
      </c>
      <c r="G323" s="749"/>
      <c r="H323" s="182" t="s">
        <v>52</v>
      </c>
      <c r="I323" s="182" t="s">
        <v>52</v>
      </c>
      <c r="J323" s="411" t="s">
        <v>52</v>
      </c>
      <c r="K323" s="411" t="s">
        <v>52</v>
      </c>
      <c r="L323" s="411">
        <v>6.3291139240506328E-3</v>
      </c>
      <c r="N323" s="16"/>
      <c r="R323" s="13"/>
      <c r="S323" s="16"/>
    </row>
    <row r="324" spans="2:19" ht="16" thickBot="1" x14ac:dyDescent="0.25">
      <c r="B324" s="775"/>
      <c r="C324" s="784"/>
      <c r="D324" s="753" t="s">
        <v>92</v>
      </c>
      <c r="E324" s="754"/>
      <c r="F324" s="748" t="s">
        <v>93</v>
      </c>
      <c r="G324" s="749"/>
      <c r="H324" s="182">
        <v>2.0199999999999999E-2</v>
      </c>
      <c r="I324" s="182"/>
      <c r="J324" s="411">
        <v>2.2058823529411766E-2</v>
      </c>
      <c r="K324" s="411">
        <v>4.1095890410958902E-2</v>
      </c>
      <c r="L324" s="411">
        <v>1.8987341772151899E-2</v>
      </c>
      <c r="N324" s="16"/>
      <c r="R324" s="13"/>
      <c r="S324" s="16"/>
    </row>
    <row r="325" spans="2:19" ht="16" thickBot="1" x14ac:dyDescent="0.25">
      <c r="B325" s="775"/>
      <c r="C325" s="784"/>
      <c r="D325" s="753" t="s">
        <v>92</v>
      </c>
      <c r="E325" s="754"/>
      <c r="F325" s="748" t="s">
        <v>94</v>
      </c>
      <c r="G325" s="749"/>
      <c r="H325" s="182">
        <v>0.1414</v>
      </c>
      <c r="I325" s="182">
        <f>19/108</f>
        <v>0.17592592592592593</v>
      </c>
      <c r="J325" s="411">
        <v>0.16176470588235295</v>
      </c>
      <c r="K325" s="411">
        <v>0.18493150684931506</v>
      </c>
      <c r="L325" s="411">
        <v>0.19620253164556961</v>
      </c>
      <c r="N325" s="16"/>
      <c r="R325" s="13"/>
      <c r="S325" s="16"/>
    </row>
    <row r="326" spans="2:19" ht="16" thickBot="1" x14ac:dyDescent="0.25">
      <c r="B326" s="775"/>
      <c r="C326" s="784"/>
      <c r="D326" s="753" t="s">
        <v>92</v>
      </c>
      <c r="E326" s="754"/>
      <c r="F326" s="748" t="s">
        <v>95</v>
      </c>
      <c r="G326" s="749"/>
      <c r="H326" s="182">
        <v>0.2727</v>
      </c>
      <c r="I326" s="182">
        <f>30/108</f>
        <v>0.27777777777777779</v>
      </c>
      <c r="J326" s="411">
        <v>0.22058823529411764</v>
      </c>
      <c r="K326" s="411">
        <v>0.20547945205479451</v>
      </c>
      <c r="L326" s="411">
        <v>0.24683544303797469</v>
      </c>
      <c r="N326" s="16"/>
      <c r="R326" s="13"/>
      <c r="S326" s="16"/>
    </row>
    <row r="327" spans="2:19" ht="16" thickBot="1" x14ac:dyDescent="0.25">
      <c r="B327" s="775"/>
      <c r="C327" s="784"/>
      <c r="D327" s="753" t="s">
        <v>92</v>
      </c>
      <c r="E327" s="754"/>
      <c r="F327" s="748" t="s">
        <v>96</v>
      </c>
      <c r="G327" s="749"/>
      <c r="H327" s="182">
        <v>2.0199999999999999E-2</v>
      </c>
      <c r="I327" s="182">
        <f>2/108</f>
        <v>1.8518518518518517E-2</v>
      </c>
      <c r="J327" s="411">
        <v>7.3529411764705881E-3</v>
      </c>
      <c r="K327" s="411" t="s">
        <v>52</v>
      </c>
      <c r="L327" s="411" t="s">
        <v>52</v>
      </c>
      <c r="N327" s="16"/>
      <c r="R327" s="13"/>
      <c r="S327" s="16"/>
    </row>
    <row r="328" spans="2:19" ht="16" thickBot="1" x14ac:dyDescent="0.25">
      <c r="B328" s="775"/>
      <c r="C328" s="784"/>
      <c r="D328" s="753" t="s">
        <v>92</v>
      </c>
      <c r="E328" s="754"/>
      <c r="F328" s="748" t="s">
        <v>97</v>
      </c>
      <c r="G328" s="749"/>
      <c r="H328" s="182">
        <v>0.31309999999999999</v>
      </c>
      <c r="I328" s="182">
        <f>26/108</f>
        <v>0.24074074074074073</v>
      </c>
      <c r="J328" s="411">
        <v>0.19852941176470587</v>
      </c>
      <c r="K328" s="411">
        <v>0.20547945205479451</v>
      </c>
      <c r="L328" s="411">
        <v>0.17721518987341772</v>
      </c>
      <c r="N328" s="16"/>
      <c r="R328" s="13"/>
      <c r="S328" s="16"/>
    </row>
    <row r="329" spans="2:19" ht="16" thickBot="1" x14ac:dyDescent="0.25">
      <c r="B329" s="775"/>
      <c r="C329" s="784"/>
      <c r="D329" s="753" t="s">
        <v>92</v>
      </c>
      <c r="E329" s="754"/>
      <c r="F329" s="748" t="s">
        <v>98</v>
      </c>
      <c r="G329" s="749"/>
      <c r="H329" s="182" t="s">
        <v>52</v>
      </c>
      <c r="I329" s="182" t="s">
        <v>52</v>
      </c>
      <c r="J329" s="411" t="s">
        <v>52</v>
      </c>
      <c r="K329" s="411" t="s">
        <v>52</v>
      </c>
      <c r="L329" s="411">
        <v>6.3291139240506328E-3</v>
      </c>
      <c r="N329" s="16"/>
      <c r="R329" s="13"/>
      <c r="S329" s="16"/>
    </row>
    <row r="330" spans="2:19" ht="16" thickBot="1" x14ac:dyDescent="0.25">
      <c r="B330" s="775"/>
      <c r="C330" s="784"/>
      <c r="D330" s="753" t="s">
        <v>92</v>
      </c>
      <c r="E330" s="754"/>
      <c r="F330" s="748" t="s">
        <v>99</v>
      </c>
      <c r="G330" s="749"/>
      <c r="H330" s="182" t="s">
        <v>52</v>
      </c>
      <c r="I330" s="182" t="s">
        <v>52</v>
      </c>
      <c r="J330" s="411">
        <v>7.3529411764705881E-3</v>
      </c>
      <c r="K330" s="411">
        <v>6.8493150684931503E-3</v>
      </c>
      <c r="L330" s="411">
        <v>1.8987341772151899E-2</v>
      </c>
      <c r="N330" s="16"/>
      <c r="R330" s="13"/>
      <c r="S330" s="16"/>
    </row>
    <row r="331" spans="2:19" ht="16" thickBot="1" x14ac:dyDescent="0.25">
      <c r="B331" s="775"/>
      <c r="C331" s="784"/>
      <c r="D331" s="753" t="s">
        <v>92</v>
      </c>
      <c r="E331" s="754"/>
      <c r="F331" s="748" t="s">
        <v>100</v>
      </c>
      <c r="G331" s="749"/>
      <c r="H331" s="182">
        <v>8.0799999999999997E-2</v>
      </c>
      <c r="I331" s="182">
        <f>7/108</f>
        <v>6.4814814814814811E-2</v>
      </c>
      <c r="J331" s="411">
        <v>8.0882352941176475E-2</v>
      </c>
      <c r="K331" s="411">
        <v>8.9041095890410954E-2</v>
      </c>
      <c r="L331" s="411" t="s">
        <v>52</v>
      </c>
      <c r="N331" s="16"/>
      <c r="R331" s="13"/>
      <c r="S331" s="16"/>
    </row>
    <row r="332" spans="2:19" ht="16" thickBot="1" x14ac:dyDescent="0.25">
      <c r="B332" s="775"/>
      <c r="C332" s="784"/>
      <c r="D332" s="753" t="s">
        <v>92</v>
      </c>
      <c r="E332" s="754"/>
      <c r="F332" s="748" t="s">
        <v>100</v>
      </c>
      <c r="G332" s="749"/>
      <c r="H332" s="182" t="s">
        <v>52</v>
      </c>
      <c r="I332" s="182" t="s">
        <v>52</v>
      </c>
      <c r="J332" s="182" t="s">
        <v>52</v>
      </c>
      <c r="K332" s="182">
        <v>6.8493150684931503E-3</v>
      </c>
      <c r="L332" s="411">
        <v>7.5949367088607597E-2</v>
      </c>
      <c r="N332" s="16"/>
      <c r="R332" s="13"/>
      <c r="S332" s="16"/>
    </row>
    <row r="333" spans="2:19" ht="16" thickBot="1" x14ac:dyDescent="0.25">
      <c r="B333" s="775"/>
      <c r="C333" s="784"/>
      <c r="D333" s="753" t="s">
        <v>92</v>
      </c>
      <c r="E333" s="754"/>
      <c r="F333" s="748" t="s">
        <v>123</v>
      </c>
      <c r="G333" s="749"/>
      <c r="H333" s="182"/>
      <c r="I333" s="182"/>
      <c r="J333" s="182"/>
      <c r="K333" s="182"/>
      <c r="L333" s="411" t="s">
        <v>52</v>
      </c>
      <c r="N333" s="16"/>
      <c r="R333" s="13"/>
      <c r="S333" s="16"/>
    </row>
    <row r="334" spans="2:19" ht="16" thickBot="1" x14ac:dyDescent="0.25">
      <c r="B334" s="775"/>
      <c r="C334" s="784"/>
      <c r="D334" s="753" t="s">
        <v>101</v>
      </c>
      <c r="E334" s="754"/>
      <c r="F334" s="753" t="s">
        <v>102</v>
      </c>
      <c r="G334" s="754"/>
      <c r="H334" s="182" t="s">
        <v>52</v>
      </c>
      <c r="I334" s="182" t="s">
        <v>52</v>
      </c>
      <c r="J334" s="411" t="s">
        <v>52</v>
      </c>
      <c r="K334" s="411" t="s">
        <v>52</v>
      </c>
      <c r="L334" s="411">
        <v>6.3291139240506328E-3</v>
      </c>
      <c r="N334" s="16"/>
      <c r="R334" s="13"/>
      <c r="S334" s="16"/>
    </row>
    <row r="335" spans="2:19" ht="16" thickBot="1" x14ac:dyDescent="0.25">
      <c r="B335" s="775"/>
      <c r="C335" s="784"/>
      <c r="D335" s="753" t="s">
        <v>101</v>
      </c>
      <c r="E335" s="754"/>
      <c r="F335" s="753" t="s">
        <v>103</v>
      </c>
      <c r="G335" s="754"/>
      <c r="H335" s="182">
        <v>1.01E-2</v>
      </c>
      <c r="I335" s="182">
        <f>1/108</f>
        <v>9.2592592592592587E-3</v>
      </c>
      <c r="J335" s="411">
        <v>7.3529411764705881E-3</v>
      </c>
      <c r="K335" s="411" t="s">
        <v>52</v>
      </c>
      <c r="L335" s="411" t="s">
        <v>52</v>
      </c>
      <c r="N335" s="16"/>
      <c r="R335" s="13"/>
      <c r="S335" s="16"/>
    </row>
    <row r="336" spans="2:19" ht="16" thickBot="1" x14ac:dyDescent="0.25">
      <c r="B336" s="775"/>
      <c r="C336" s="784"/>
      <c r="D336" s="753" t="s">
        <v>101</v>
      </c>
      <c r="E336" s="754"/>
      <c r="F336" s="753" t="s">
        <v>104</v>
      </c>
      <c r="G336" s="754"/>
      <c r="H336" s="182">
        <v>1.01E-2</v>
      </c>
      <c r="I336" s="182">
        <f>1/108</f>
        <v>9.2592592592592587E-3</v>
      </c>
      <c r="J336" s="411" t="s">
        <v>52</v>
      </c>
      <c r="K336" s="411" t="s">
        <v>52</v>
      </c>
      <c r="L336" s="411" t="s">
        <v>52</v>
      </c>
      <c r="N336" s="16"/>
      <c r="R336" s="13"/>
      <c r="S336" s="16"/>
    </row>
    <row r="337" spans="2:27" ht="16" thickBot="1" x14ac:dyDescent="0.25">
      <c r="B337" s="775"/>
      <c r="C337" s="784"/>
      <c r="D337" s="753" t="s">
        <v>105</v>
      </c>
      <c r="E337" s="754"/>
      <c r="F337" s="755" t="s">
        <v>1001</v>
      </c>
      <c r="G337" s="756"/>
      <c r="H337" s="182" t="s">
        <v>52</v>
      </c>
      <c r="I337" s="182" t="s">
        <v>52</v>
      </c>
      <c r="J337" s="182" t="s">
        <v>52</v>
      </c>
      <c r="K337" s="182">
        <v>1.3698630136986301E-2</v>
      </c>
      <c r="L337" s="411">
        <v>6.3291139240506328E-3</v>
      </c>
      <c r="N337" s="16"/>
      <c r="R337" s="13"/>
      <c r="S337" s="16"/>
    </row>
    <row r="338" spans="2:27" ht="16" thickBot="1" x14ac:dyDescent="0.25">
      <c r="B338" s="775"/>
      <c r="C338" s="784"/>
      <c r="D338" s="753" t="s">
        <v>105</v>
      </c>
      <c r="E338" s="754"/>
      <c r="F338" s="753" t="s">
        <v>106</v>
      </c>
      <c r="G338" s="754"/>
      <c r="H338" s="182">
        <v>1.01E-2</v>
      </c>
      <c r="I338" s="182">
        <f>4/108</f>
        <v>3.7037037037037035E-2</v>
      </c>
      <c r="J338" s="411">
        <v>6.6176470588235295E-2</v>
      </c>
      <c r="K338" s="411">
        <v>3.4246575342465752E-2</v>
      </c>
      <c r="L338" s="411">
        <v>4.4303797468354431E-2</v>
      </c>
      <c r="N338" s="16"/>
      <c r="R338" s="13"/>
      <c r="S338" s="16"/>
    </row>
    <row r="339" spans="2:27" ht="16" thickBot="1" x14ac:dyDescent="0.25">
      <c r="B339" s="775"/>
      <c r="C339" s="784"/>
      <c r="D339" s="753" t="s">
        <v>105</v>
      </c>
      <c r="E339" s="754"/>
      <c r="F339" s="753" t="s">
        <v>107</v>
      </c>
      <c r="G339" s="754"/>
      <c r="H339" s="182" t="s">
        <v>52</v>
      </c>
      <c r="I339" s="182">
        <f>1/108</f>
        <v>9.2592592592592587E-3</v>
      </c>
      <c r="J339" s="411">
        <v>7.3529411764705881E-3</v>
      </c>
      <c r="K339" s="411" t="s">
        <v>52</v>
      </c>
      <c r="L339" s="411">
        <v>6.3291139240506328E-3</v>
      </c>
      <c r="N339" s="16"/>
      <c r="R339" s="13"/>
      <c r="S339" s="16"/>
    </row>
    <row r="340" spans="2:27" ht="16" thickBot="1" x14ac:dyDescent="0.25">
      <c r="B340" s="775"/>
      <c r="C340" s="784"/>
      <c r="D340" s="753" t="s">
        <v>105</v>
      </c>
      <c r="E340" s="754"/>
      <c r="F340" s="755" t="s">
        <v>125</v>
      </c>
      <c r="G340" s="756"/>
      <c r="H340" s="182" t="s">
        <v>52</v>
      </c>
      <c r="I340" s="182" t="s">
        <v>52</v>
      </c>
      <c r="J340" s="411"/>
      <c r="K340" s="411">
        <v>6.8493150684931503E-3</v>
      </c>
      <c r="L340" s="411" t="s">
        <v>52</v>
      </c>
      <c r="N340" s="16"/>
      <c r="R340" s="13"/>
      <c r="S340" s="16"/>
    </row>
    <row r="341" spans="2:27" ht="16" thickBot="1" x14ac:dyDescent="0.25">
      <c r="B341" s="775"/>
      <c r="C341" s="784"/>
      <c r="D341" s="753" t="s">
        <v>105</v>
      </c>
      <c r="E341" s="754"/>
      <c r="F341" s="755" t="s">
        <v>969</v>
      </c>
      <c r="G341" s="756"/>
      <c r="H341" s="182" t="s">
        <v>52</v>
      </c>
      <c r="I341" s="182" t="s">
        <v>52</v>
      </c>
      <c r="J341" s="411">
        <v>7.3529411764705881E-3</v>
      </c>
      <c r="K341" s="411">
        <v>1.3698630136986301E-2</v>
      </c>
      <c r="L341" s="411">
        <v>6.3291139240506328E-3</v>
      </c>
      <c r="N341" s="16"/>
      <c r="R341" s="13"/>
      <c r="S341" s="16"/>
    </row>
    <row r="342" spans="2:27" ht="16" thickBot="1" x14ac:dyDescent="0.25">
      <c r="B342" s="775"/>
      <c r="C342" s="784"/>
      <c r="D342" s="753" t="s">
        <v>108</v>
      </c>
      <c r="E342" s="754"/>
      <c r="F342" s="748" t="s">
        <v>109</v>
      </c>
      <c r="G342" s="749"/>
      <c r="H342" s="182" t="s">
        <v>52</v>
      </c>
      <c r="I342" s="182">
        <f>2/108</f>
        <v>1.8518518518518517E-2</v>
      </c>
      <c r="J342" s="411">
        <v>2.2058823529411766E-2</v>
      </c>
      <c r="K342" s="411">
        <v>2.0547945205479451E-2</v>
      </c>
      <c r="L342" s="411">
        <v>3.1645569620253167E-2</v>
      </c>
      <c r="N342" s="16"/>
      <c r="R342" s="13"/>
      <c r="S342" s="16"/>
    </row>
    <row r="343" spans="2:27" ht="16" thickBot="1" x14ac:dyDescent="0.25">
      <c r="B343" s="775"/>
      <c r="C343" s="784"/>
      <c r="D343" s="753" t="s">
        <v>108</v>
      </c>
      <c r="E343" s="754"/>
      <c r="F343" s="748" t="s">
        <v>110</v>
      </c>
      <c r="G343" s="749"/>
      <c r="H343" s="182">
        <v>3.0300000000000001E-2</v>
      </c>
      <c r="I343" s="182" t="s">
        <v>52</v>
      </c>
      <c r="J343" s="411">
        <v>1.4705882352941176E-2</v>
      </c>
      <c r="K343" s="411">
        <v>1.3698630136986301E-2</v>
      </c>
      <c r="L343" s="411">
        <v>6.3291139240506328E-3</v>
      </c>
      <c r="N343" s="16"/>
      <c r="R343" s="13"/>
      <c r="S343" s="16"/>
    </row>
    <row r="344" spans="2:27" ht="16" thickBot="1" x14ac:dyDescent="0.25">
      <c r="B344" s="775"/>
      <c r="C344" s="784"/>
      <c r="D344" s="753" t="s">
        <v>108</v>
      </c>
      <c r="E344" s="754"/>
      <c r="F344" s="748" t="s">
        <v>970</v>
      </c>
      <c r="G344" s="749"/>
      <c r="H344" s="182"/>
      <c r="I344" s="182"/>
      <c r="J344" s="411">
        <v>7.3529411764705881E-3</v>
      </c>
      <c r="K344" s="411">
        <v>1.3698630136986301E-2</v>
      </c>
      <c r="L344" s="411" t="s">
        <v>52</v>
      </c>
      <c r="N344" s="16"/>
      <c r="R344" s="13"/>
      <c r="S344" s="16"/>
    </row>
    <row r="345" spans="2:27" ht="12.75" customHeight="1" thickBot="1" x14ac:dyDescent="0.25">
      <c r="B345" s="775"/>
      <c r="C345" s="784"/>
      <c r="D345" s="753" t="s">
        <v>108</v>
      </c>
      <c r="E345" s="754"/>
      <c r="F345" s="750" t="s">
        <v>971</v>
      </c>
      <c r="G345" s="751"/>
      <c r="H345" s="182"/>
      <c r="I345" s="182"/>
      <c r="J345" s="411">
        <v>7.3529411764705881E-3</v>
      </c>
      <c r="K345" s="411" t="s">
        <v>52</v>
      </c>
      <c r="L345" s="411" t="s">
        <v>52</v>
      </c>
      <c r="N345" s="16"/>
      <c r="R345" s="13"/>
      <c r="S345" s="16"/>
    </row>
    <row r="346" spans="2:27" ht="16" thickBot="1" x14ac:dyDescent="0.25">
      <c r="B346" s="775"/>
      <c r="C346" s="784"/>
      <c r="D346" s="753" t="s">
        <v>111</v>
      </c>
      <c r="E346" s="754"/>
      <c r="F346" s="753" t="s">
        <v>52</v>
      </c>
      <c r="G346" s="754"/>
      <c r="H346" s="182" t="s">
        <v>52</v>
      </c>
      <c r="I346" s="182" t="s">
        <v>52</v>
      </c>
      <c r="J346" s="411" t="s">
        <v>52</v>
      </c>
      <c r="K346" s="411" t="s">
        <v>52</v>
      </c>
      <c r="L346" s="411" t="s">
        <v>52</v>
      </c>
      <c r="N346" s="16"/>
      <c r="R346" s="13"/>
      <c r="S346" s="16"/>
    </row>
    <row r="347" spans="2:27" ht="16" thickBot="1" x14ac:dyDescent="0.25">
      <c r="B347" s="775"/>
      <c r="C347" s="784"/>
      <c r="D347" s="753" t="s">
        <v>112</v>
      </c>
      <c r="E347" s="754"/>
      <c r="F347" s="753" t="s">
        <v>1195</v>
      </c>
      <c r="G347" s="754"/>
      <c r="H347" s="182"/>
      <c r="I347" s="182"/>
      <c r="J347" s="411"/>
      <c r="K347" s="411"/>
      <c r="L347" s="411">
        <v>6.3291139240506328E-3</v>
      </c>
      <c r="N347" s="16"/>
      <c r="R347" s="13"/>
      <c r="S347" s="16"/>
    </row>
    <row r="348" spans="2:27" ht="15" customHeight="1" thickBot="1" x14ac:dyDescent="0.25">
      <c r="B348" s="775"/>
      <c r="C348" s="784"/>
      <c r="D348" s="753" t="s">
        <v>112</v>
      </c>
      <c r="E348" s="754"/>
      <c r="F348" s="753" t="s">
        <v>113</v>
      </c>
      <c r="G348" s="754"/>
      <c r="H348" s="182">
        <v>1.01E-2</v>
      </c>
      <c r="I348" s="182">
        <f>1/108</f>
        <v>9.2592592592592587E-3</v>
      </c>
      <c r="J348" s="411">
        <v>7.3529411764705881E-3</v>
      </c>
      <c r="K348" s="411">
        <v>6.8493150684931503E-3</v>
      </c>
      <c r="L348" s="411" t="s">
        <v>52</v>
      </c>
      <c r="N348" s="16"/>
      <c r="R348" s="13"/>
      <c r="S348" s="16"/>
    </row>
    <row r="349" spans="2:27" ht="16" thickBot="1" x14ac:dyDescent="0.25">
      <c r="B349" s="775"/>
      <c r="C349" s="784"/>
      <c r="D349" s="753" t="s">
        <v>114</v>
      </c>
      <c r="E349" s="754"/>
      <c r="F349" s="753" t="s">
        <v>52</v>
      </c>
      <c r="G349" s="754"/>
      <c r="H349" s="182">
        <v>1.01E-2</v>
      </c>
      <c r="I349" s="182">
        <f>1/108</f>
        <v>9.2592592592592587E-3</v>
      </c>
      <c r="J349" s="411">
        <v>7.3529411764705881E-3</v>
      </c>
      <c r="K349" s="411" t="s">
        <v>52</v>
      </c>
      <c r="L349" s="411" t="s">
        <v>52</v>
      </c>
      <c r="N349" s="16"/>
      <c r="R349" s="13"/>
      <c r="S349" s="16"/>
    </row>
    <row r="350" spans="2:27" ht="16" thickBot="1" x14ac:dyDescent="0.25">
      <c r="B350" s="775"/>
      <c r="C350" s="784"/>
      <c r="D350" s="753" t="s">
        <v>115</v>
      </c>
      <c r="E350" s="754"/>
      <c r="F350" s="753" t="s">
        <v>52</v>
      </c>
      <c r="G350" s="754"/>
      <c r="H350" s="182" t="s">
        <v>52</v>
      </c>
      <c r="I350" s="182" t="s">
        <v>52</v>
      </c>
      <c r="J350" s="411" t="s">
        <v>52</v>
      </c>
      <c r="K350" s="411" t="s">
        <v>52</v>
      </c>
      <c r="L350" s="411" t="s">
        <v>52</v>
      </c>
      <c r="N350" s="16"/>
      <c r="R350" s="13"/>
      <c r="S350" s="16"/>
    </row>
    <row r="351" spans="2:27" ht="23.25" customHeight="1" thickBot="1" x14ac:dyDescent="0.25">
      <c r="B351" s="775"/>
      <c r="C351" s="784"/>
      <c r="D351" s="753" t="s">
        <v>116</v>
      </c>
      <c r="E351" s="754"/>
      <c r="F351" s="753" t="s">
        <v>52</v>
      </c>
      <c r="G351" s="754"/>
      <c r="H351" s="182">
        <v>1.01E-2</v>
      </c>
      <c r="I351" s="182">
        <f>2/108</f>
        <v>1.8518518518518517E-2</v>
      </c>
      <c r="J351" s="411">
        <v>2.9411764705882353E-2</v>
      </c>
      <c r="K351" s="411">
        <v>4.7945205479452052E-2</v>
      </c>
      <c r="L351" s="411">
        <v>2.5316455696202531E-2</v>
      </c>
      <c r="N351" s="16"/>
      <c r="R351" s="13"/>
      <c r="S351" s="16"/>
      <c r="X351" s="2"/>
      <c r="Y351" s="2"/>
      <c r="Z351" s="2"/>
      <c r="AA351" s="2"/>
    </row>
    <row r="352" spans="2:27" ht="16" thickBot="1" x14ac:dyDescent="0.25">
      <c r="B352" s="775"/>
      <c r="C352" s="784"/>
      <c r="D352" s="755" t="s">
        <v>972</v>
      </c>
      <c r="E352" s="756"/>
      <c r="F352" s="753" t="s">
        <v>52</v>
      </c>
      <c r="G352" s="754"/>
      <c r="H352" s="182" t="s">
        <v>52</v>
      </c>
      <c r="I352" s="182" t="s">
        <v>52</v>
      </c>
      <c r="J352" s="411">
        <v>7.3529411764705881E-3</v>
      </c>
      <c r="K352" s="411" t="s">
        <v>52</v>
      </c>
      <c r="L352" s="411">
        <v>6.3291139240506328E-3</v>
      </c>
      <c r="N352" s="16"/>
      <c r="R352" s="13"/>
      <c r="S352" s="16"/>
      <c r="X352" s="2"/>
      <c r="Y352" s="2"/>
      <c r="Z352" s="2"/>
      <c r="AA352" s="2"/>
    </row>
    <row r="353" spans="2:27" ht="15.75" customHeight="1" thickBot="1" x14ac:dyDescent="0.25">
      <c r="B353" s="775"/>
      <c r="C353" s="784"/>
      <c r="D353" s="753" t="s">
        <v>973</v>
      </c>
      <c r="E353" s="754"/>
      <c r="F353" s="753" t="s">
        <v>974</v>
      </c>
      <c r="G353" s="754"/>
      <c r="H353" s="182" t="s">
        <v>52</v>
      </c>
      <c r="I353" s="182" t="s">
        <v>52</v>
      </c>
      <c r="J353" s="411">
        <v>7.3529411764705881E-3</v>
      </c>
      <c r="K353" s="411" t="s">
        <v>52</v>
      </c>
      <c r="L353" s="411">
        <v>1.2658227848101266E-2</v>
      </c>
      <c r="N353" s="16"/>
      <c r="R353" s="13"/>
      <c r="S353" s="16"/>
      <c r="AA353" s="2"/>
    </row>
    <row r="354" spans="2:27" ht="15.75" customHeight="1" thickBot="1" x14ac:dyDescent="0.25">
      <c r="B354" s="775"/>
      <c r="C354" s="784"/>
      <c r="D354" s="753" t="s">
        <v>999</v>
      </c>
      <c r="E354" s="754"/>
      <c r="F354" s="753" t="s">
        <v>1000</v>
      </c>
      <c r="G354" s="754"/>
      <c r="H354" s="182" t="s">
        <v>52</v>
      </c>
      <c r="I354" s="182" t="s">
        <v>52</v>
      </c>
      <c r="J354" s="411" t="s">
        <v>52</v>
      </c>
      <c r="K354" s="411">
        <v>6.8493150684931503E-3</v>
      </c>
      <c r="L354" s="411"/>
      <c r="N354" s="16"/>
      <c r="R354" s="13"/>
      <c r="S354" s="16"/>
      <c r="AA354" s="2"/>
    </row>
    <row r="355" spans="2:27" ht="16" thickBot="1" x14ac:dyDescent="0.25">
      <c r="B355" s="776"/>
      <c r="C355" s="785"/>
      <c r="D355" s="786" t="s">
        <v>117</v>
      </c>
      <c r="E355" s="787"/>
      <c r="F355" s="786" t="s">
        <v>52</v>
      </c>
      <c r="G355" s="787"/>
      <c r="H355" s="179">
        <v>3.0300000000000001E-2</v>
      </c>
      <c r="I355" s="179">
        <f>7/108</f>
        <v>6.4814814814814811E-2</v>
      </c>
      <c r="J355" s="412">
        <v>5.1470588235294115E-2</v>
      </c>
      <c r="K355" s="412">
        <v>3.4246575342465752E-2</v>
      </c>
      <c r="L355" s="412">
        <f>6/158</f>
        <v>3.7974683544303799E-2</v>
      </c>
      <c r="N355" s="16"/>
      <c r="R355" s="13"/>
      <c r="S355" s="16"/>
      <c r="AA355" s="2"/>
    </row>
    <row r="356" spans="2:27" x14ac:dyDescent="0.2">
      <c r="N356" s="16"/>
      <c r="R356" s="13"/>
      <c r="AA356" s="2"/>
    </row>
    <row r="357" spans="2:27" ht="25.5" customHeight="1" x14ac:dyDescent="0.2">
      <c r="B357" s="740" t="s">
        <v>75</v>
      </c>
      <c r="C357" s="740"/>
      <c r="D357" s="740" t="s">
        <v>79</v>
      </c>
      <c r="E357" s="740"/>
      <c r="F357" s="740" t="s">
        <v>80</v>
      </c>
      <c r="G357" s="740"/>
      <c r="H357" s="740" t="s">
        <v>81</v>
      </c>
      <c r="I357" s="740"/>
      <c r="J357" s="740"/>
      <c r="K357" s="740"/>
      <c r="L357" s="740"/>
      <c r="N357" s="16"/>
      <c r="R357" s="13"/>
      <c r="AA357" s="2"/>
    </row>
    <row r="358" spans="2:27" x14ac:dyDescent="0.2">
      <c r="B358" s="741"/>
      <c r="C358" s="741"/>
      <c r="D358" s="741"/>
      <c r="E358" s="741"/>
      <c r="F358" s="741"/>
      <c r="G358" s="741"/>
      <c r="H358" s="206" t="s">
        <v>5</v>
      </c>
      <c r="I358" s="206" t="s">
        <v>6</v>
      </c>
      <c r="J358" s="282" t="s">
        <v>912</v>
      </c>
      <c r="K358" s="282" t="s">
        <v>985</v>
      </c>
      <c r="L358" s="206" t="s">
        <v>1169</v>
      </c>
      <c r="N358" s="16"/>
      <c r="R358" s="13"/>
      <c r="AA358" s="2"/>
    </row>
    <row r="359" spans="2:27" ht="16" thickBot="1" x14ac:dyDescent="0.25">
      <c r="B359" s="774" t="s">
        <v>8</v>
      </c>
      <c r="C359" s="783"/>
      <c r="D359" s="753" t="s">
        <v>82</v>
      </c>
      <c r="E359" s="754"/>
      <c r="F359" s="753" t="s">
        <v>118</v>
      </c>
      <c r="G359" s="754"/>
      <c r="H359" s="182" t="s">
        <v>52</v>
      </c>
      <c r="I359" s="182">
        <v>4.1666666666666666E-3</v>
      </c>
      <c r="J359" s="411">
        <v>4.1666666666666666E-3</v>
      </c>
      <c r="K359" s="411">
        <v>4.2372881355932203E-3</v>
      </c>
      <c r="L359" s="583" t="s">
        <v>52</v>
      </c>
      <c r="N359" s="16"/>
      <c r="R359" s="13"/>
      <c r="S359" s="16"/>
      <c r="AA359" s="2"/>
    </row>
    <row r="360" spans="2:27" ht="16" thickBot="1" x14ac:dyDescent="0.25">
      <c r="B360" s="775"/>
      <c r="C360" s="784"/>
      <c r="D360" s="753" t="s">
        <v>82</v>
      </c>
      <c r="E360" s="754"/>
      <c r="F360" s="753" t="s">
        <v>84</v>
      </c>
      <c r="G360" s="754"/>
      <c r="H360" s="182" t="s">
        <v>52</v>
      </c>
      <c r="I360" s="182" t="s">
        <v>52</v>
      </c>
      <c r="J360" s="182" t="s">
        <v>52</v>
      </c>
      <c r="K360" s="411" t="s">
        <v>52</v>
      </c>
      <c r="L360" s="583" t="s">
        <v>52</v>
      </c>
      <c r="N360" s="16"/>
      <c r="R360" s="13"/>
      <c r="S360" s="16"/>
      <c r="AA360" s="2"/>
    </row>
    <row r="361" spans="2:27" ht="16" thickBot="1" x14ac:dyDescent="0.25">
      <c r="B361" s="775"/>
      <c r="C361" s="784"/>
      <c r="D361" s="753" t="s">
        <v>82</v>
      </c>
      <c r="E361" s="754"/>
      <c r="F361" s="748" t="s">
        <v>119</v>
      </c>
      <c r="G361" s="749"/>
      <c r="H361" s="182" t="s">
        <v>52</v>
      </c>
      <c r="I361" s="182" t="s">
        <v>52</v>
      </c>
      <c r="J361" s="182" t="s">
        <v>52</v>
      </c>
      <c r="K361" s="411" t="s">
        <v>52</v>
      </c>
      <c r="L361" s="583" t="s">
        <v>52</v>
      </c>
      <c r="N361" s="16"/>
      <c r="R361" s="13"/>
      <c r="S361" s="16"/>
      <c r="AA361" s="2"/>
    </row>
    <row r="362" spans="2:27" ht="16" thickBot="1" x14ac:dyDescent="0.25">
      <c r="B362" s="775"/>
      <c r="C362" s="784"/>
      <c r="D362" s="753" t="s">
        <v>82</v>
      </c>
      <c r="E362" s="754"/>
      <c r="F362" s="753" t="s">
        <v>120</v>
      </c>
      <c r="G362" s="754"/>
      <c r="H362" s="182">
        <v>4.1000000000000003E-3</v>
      </c>
      <c r="I362" s="182">
        <v>4.1666666666666666E-3</v>
      </c>
      <c r="J362" s="411">
        <v>4.1666666666666666E-3</v>
      </c>
      <c r="K362" s="411" t="s">
        <v>52</v>
      </c>
      <c r="L362" s="583" t="s">
        <v>52</v>
      </c>
      <c r="N362" s="16"/>
      <c r="R362" s="403"/>
      <c r="S362" s="16"/>
      <c r="AA362" s="2"/>
    </row>
    <row r="363" spans="2:27" ht="16" thickBot="1" x14ac:dyDescent="0.25">
      <c r="B363" s="775"/>
      <c r="C363" s="784"/>
      <c r="D363" s="753" t="s">
        <v>82</v>
      </c>
      <c r="E363" s="754"/>
      <c r="F363" s="748" t="s">
        <v>87</v>
      </c>
      <c r="G363" s="749"/>
      <c r="H363" s="182" t="s">
        <v>52</v>
      </c>
      <c r="I363" s="182" t="s">
        <v>52</v>
      </c>
      <c r="J363" s="411">
        <v>4.1666666666666666E-3</v>
      </c>
      <c r="K363" s="411">
        <v>4.2372881355932203E-3</v>
      </c>
      <c r="L363" s="583">
        <f>1/235</f>
        <v>4.2553191489361703E-3</v>
      </c>
      <c r="N363" s="16"/>
      <c r="O363" s="49"/>
      <c r="R363" s="13"/>
      <c r="T363" s="2"/>
      <c r="AA363" s="2"/>
    </row>
    <row r="364" spans="2:27" ht="16" thickBot="1" x14ac:dyDescent="0.25">
      <c r="B364" s="775"/>
      <c r="C364" s="784"/>
      <c r="D364" s="753" t="s">
        <v>82</v>
      </c>
      <c r="E364" s="754"/>
      <c r="F364" s="748" t="s">
        <v>121</v>
      </c>
      <c r="G364" s="749"/>
      <c r="H364" s="182" t="s">
        <v>52</v>
      </c>
      <c r="I364" s="182" t="s">
        <v>52</v>
      </c>
      <c r="J364" s="411">
        <v>4.1666666666666666E-3</v>
      </c>
      <c r="K364" s="411" t="s">
        <v>52</v>
      </c>
      <c r="L364" s="583" t="s">
        <v>52</v>
      </c>
      <c r="N364" s="16"/>
      <c r="O364" s="49"/>
      <c r="R364" s="13"/>
      <c r="S364" s="16"/>
      <c r="AA364" s="2"/>
    </row>
    <row r="365" spans="2:27" ht="16" thickBot="1" x14ac:dyDescent="0.25">
      <c r="B365" s="775"/>
      <c r="C365" s="784"/>
      <c r="D365" s="753" t="s">
        <v>82</v>
      </c>
      <c r="E365" s="754"/>
      <c r="F365" s="753" t="s">
        <v>85</v>
      </c>
      <c r="G365" s="754"/>
      <c r="H365" s="182" t="s">
        <v>52</v>
      </c>
      <c r="I365" s="182" t="s">
        <v>52</v>
      </c>
      <c r="J365" s="182" t="s">
        <v>52</v>
      </c>
      <c r="K365" s="182" t="s">
        <v>52</v>
      </c>
      <c r="L365" s="583" t="s">
        <v>52</v>
      </c>
      <c r="N365" s="16"/>
      <c r="R365" s="13"/>
      <c r="S365" s="16"/>
      <c r="AA365" s="2"/>
    </row>
    <row r="366" spans="2:27" ht="16" thickBot="1" x14ac:dyDescent="0.25">
      <c r="B366" s="775"/>
      <c r="C366" s="784"/>
      <c r="D366" s="753" t="s">
        <v>92</v>
      </c>
      <c r="E366" s="754"/>
      <c r="F366" s="753" t="s">
        <v>93</v>
      </c>
      <c r="G366" s="754"/>
      <c r="H366" s="182">
        <v>1.2500000000000001E-2</v>
      </c>
      <c r="I366" s="182">
        <v>4.1666666666666666E-3</v>
      </c>
      <c r="J366" s="411">
        <v>4.1666666666666666E-3</v>
      </c>
      <c r="K366" s="411">
        <v>1.2711864406779662E-2</v>
      </c>
      <c r="L366" s="583">
        <f>1/235</f>
        <v>4.2553191489361703E-3</v>
      </c>
      <c r="N366" s="16"/>
      <c r="R366" s="13"/>
      <c r="S366" s="16"/>
      <c r="AA366" s="2"/>
    </row>
    <row r="367" spans="2:27" ht="16" thickBot="1" x14ac:dyDescent="0.25">
      <c r="B367" s="775"/>
      <c r="C367" s="784"/>
      <c r="D367" s="753" t="s">
        <v>92</v>
      </c>
      <c r="E367" s="754"/>
      <c r="F367" s="748" t="s">
        <v>94</v>
      </c>
      <c r="G367" s="749"/>
      <c r="H367" s="182">
        <v>4.1666666666666664E-2</v>
      </c>
      <c r="I367" s="182">
        <v>3.7499999999999999E-2</v>
      </c>
      <c r="J367" s="411">
        <v>3.7499999999999999E-2</v>
      </c>
      <c r="K367" s="411">
        <v>2.9661016949152543E-2</v>
      </c>
      <c r="L367" s="583">
        <f>10/235</f>
        <v>4.2553191489361701E-2</v>
      </c>
      <c r="N367" s="16"/>
      <c r="R367" s="403"/>
      <c r="S367" s="16"/>
      <c r="AA367" s="2"/>
    </row>
    <row r="368" spans="2:27" ht="16" thickBot="1" x14ac:dyDescent="0.25">
      <c r="B368" s="775"/>
      <c r="C368" s="784"/>
      <c r="D368" s="753" t="s">
        <v>92</v>
      </c>
      <c r="E368" s="754"/>
      <c r="F368" s="748" t="s">
        <v>95</v>
      </c>
      <c r="G368" s="749"/>
      <c r="H368" s="182">
        <v>9.1700000000000004E-2</v>
      </c>
      <c r="I368" s="182">
        <v>6.6666666666666666E-2</v>
      </c>
      <c r="J368" s="411">
        <v>5.8333333333333334E-2</v>
      </c>
      <c r="K368" s="411">
        <v>6.3559322033898302E-2</v>
      </c>
      <c r="L368" s="583">
        <f>14/235</f>
        <v>5.9574468085106386E-2</v>
      </c>
      <c r="N368" s="16"/>
      <c r="R368" s="403"/>
      <c r="S368" s="16"/>
      <c r="AA368" s="2"/>
    </row>
    <row r="369" spans="2:27" ht="16" thickBot="1" x14ac:dyDescent="0.25">
      <c r="B369" s="775"/>
      <c r="C369" s="784"/>
      <c r="D369" s="753" t="s">
        <v>92</v>
      </c>
      <c r="E369" s="754"/>
      <c r="F369" s="748" t="s">
        <v>96</v>
      </c>
      <c r="G369" s="749"/>
      <c r="H369" s="182" t="s">
        <v>52</v>
      </c>
      <c r="I369" s="182" t="s">
        <v>52</v>
      </c>
      <c r="J369" s="411">
        <v>4.1666666666666666E-3</v>
      </c>
      <c r="K369" s="411" t="s">
        <v>52</v>
      </c>
      <c r="L369" s="583" t="s">
        <v>52</v>
      </c>
      <c r="N369" s="16"/>
      <c r="R369" s="403"/>
      <c r="S369" s="16"/>
      <c r="AA369" s="2"/>
    </row>
    <row r="370" spans="2:27" ht="16" thickBot="1" x14ac:dyDescent="0.25">
      <c r="B370" s="775"/>
      <c r="C370" s="784"/>
      <c r="D370" s="753" t="s">
        <v>92</v>
      </c>
      <c r="E370" s="754"/>
      <c r="F370" s="748" t="s">
        <v>122</v>
      </c>
      <c r="G370" s="749"/>
      <c r="H370" s="182" t="s">
        <v>52</v>
      </c>
      <c r="I370" s="182" t="s">
        <v>52</v>
      </c>
      <c r="J370" s="182" t="s">
        <v>52</v>
      </c>
      <c r="K370" s="411" t="s">
        <v>52</v>
      </c>
      <c r="L370" s="583">
        <f>1/235</f>
        <v>4.2553191489361703E-3</v>
      </c>
      <c r="N370" s="16"/>
      <c r="R370" s="13"/>
      <c r="S370" s="16"/>
      <c r="AA370" s="2"/>
    </row>
    <row r="371" spans="2:27" ht="16" thickBot="1" x14ac:dyDescent="0.25">
      <c r="B371" s="775"/>
      <c r="C371" s="784"/>
      <c r="D371" s="753" t="s">
        <v>92</v>
      </c>
      <c r="E371" s="754"/>
      <c r="F371" s="748" t="s">
        <v>97</v>
      </c>
      <c r="G371" s="749"/>
      <c r="H371" s="182">
        <v>6.25E-2</v>
      </c>
      <c r="I371" s="182">
        <v>0.05</v>
      </c>
      <c r="J371" s="411">
        <v>6.6666666666666666E-2</v>
      </c>
      <c r="K371" s="411">
        <v>5.9322033898305086E-2</v>
      </c>
      <c r="L371" s="583">
        <f>9/235</f>
        <v>3.8297872340425532E-2</v>
      </c>
      <c r="N371" s="16"/>
      <c r="R371" s="13"/>
      <c r="S371" s="16"/>
      <c r="AA371" s="2"/>
    </row>
    <row r="372" spans="2:27" ht="16" thickBot="1" x14ac:dyDescent="0.25">
      <c r="B372" s="775"/>
      <c r="C372" s="784"/>
      <c r="D372" s="753" t="s">
        <v>92</v>
      </c>
      <c r="E372" s="754"/>
      <c r="F372" s="748" t="s">
        <v>100</v>
      </c>
      <c r="G372" s="749"/>
      <c r="H372" s="182">
        <v>8.3333333333333329E-2</v>
      </c>
      <c r="I372" s="182">
        <v>6.25E-2</v>
      </c>
      <c r="J372" s="411">
        <v>3.7499999999999999E-2</v>
      </c>
      <c r="K372" s="411">
        <v>3.3898305084745763E-2</v>
      </c>
      <c r="L372" s="583">
        <f>7/235</f>
        <v>2.9787234042553193E-2</v>
      </c>
      <c r="N372" s="16"/>
      <c r="R372" s="403"/>
      <c r="S372" s="16"/>
      <c r="AA372" s="2"/>
    </row>
    <row r="373" spans="2:27" ht="16" thickBot="1" x14ac:dyDescent="0.25">
      <c r="B373" s="775"/>
      <c r="C373" s="784"/>
      <c r="D373" s="753" t="s">
        <v>92</v>
      </c>
      <c r="E373" s="754"/>
      <c r="F373" s="748" t="s">
        <v>123</v>
      </c>
      <c r="G373" s="749"/>
      <c r="H373" s="182">
        <v>4.1666666666666666E-3</v>
      </c>
      <c r="I373" s="182">
        <v>4.1666666666666666E-3</v>
      </c>
      <c r="J373" s="411">
        <v>4.1666666666666666E-3</v>
      </c>
      <c r="K373" s="411">
        <v>8.4745762711864406E-3</v>
      </c>
      <c r="L373" s="583">
        <f>1/235</f>
        <v>4.2553191489361703E-3</v>
      </c>
      <c r="N373" s="16"/>
      <c r="R373" s="13"/>
      <c r="S373" s="16"/>
      <c r="AA373" s="2"/>
    </row>
    <row r="374" spans="2:27" ht="16" thickBot="1" x14ac:dyDescent="0.25">
      <c r="B374" s="775"/>
      <c r="C374" s="784"/>
      <c r="D374" s="753" t="s">
        <v>92</v>
      </c>
      <c r="E374" s="754"/>
      <c r="F374" s="748" t="s">
        <v>98</v>
      </c>
      <c r="G374" s="749"/>
      <c r="H374" s="182">
        <v>4.1666666666666666E-3</v>
      </c>
      <c r="I374" s="182">
        <v>4.1666666666666666E-3</v>
      </c>
      <c r="J374" s="411" t="s">
        <v>52</v>
      </c>
      <c r="K374" s="411" t="s">
        <v>52</v>
      </c>
      <c r="L374" s="583" t="s">
        <v>52</v>
      </c>
      <c r="N374" s="16"/>
      <c r="R374" s="13"/>
      <c r="S374" s="16"/>
    </row>
    <row r="375" spans="2:27" ht="16" thickBot="1" x14ac:dyDescent="0.25">
      <c r="B375" s="775"/>
      <c r="C375" s="784"/>
      <c r="D375" s="753" t="s">
        <v>92</v>
      </c>
      <c r="E375" s="754"/>
      <c r="F375" s="748" t="s">
        <v>99</v>
      </c>
      <c r="G375" s="749"/>
      <c r="H375" s="182">
        <v>8.3333333333333332E-3</v>
      </c>
      <c r="I375" s="182">
        <v>8.3333333333333332E-3</v>
      </c>
      <c r="J375" s="411">
        <v>8.3333333333333332E-3</v>
      </c>
      <c r="K375" s="411">
        <v>4.2372881355932203E-3</v>
      </c>
      <c r="L375" s="583" t="s">
        <v>52</v>
      </c>
      <c r="N375" s="16"/>
      <c r="R375" s="13"/>
      <c r="S375" s="16"/>
      <c r="Y375" s="3"/>
    </row>
    <row r="376" spans="2:27" ht="16" thickBot="1" x14ac:dyDescent="0.25">
      <c r="B376" s="775"/>
      <c r="C376" s="784"/>
      <c r="D376" s="753" t="s">
        <v>92</v>
      </c>
      <c r="E376" s="754"/>
      <c r="F376" s="748" t="s">
        <v>96</v>
      </c>
      <c r="G376" s="749"/>
      <c r="H376" s="182">
        <v>4.1666666666666666E-3</v>
      </c>
      <c r="I376" s="182" t="s">
        <v>52</v>
      </c>
      <c r="J376" s="411" t="s">
        <v>52</v>
      </c>
      <c r="K376" s="411" t="s">
        <v>52</v>
      </c>
      <c r="L376" s="583" t="s">
        <v>52</v>
      </c>
      <c r="N376" s="16"/>
      <c r="R376" s="403"/>
      <c r="S376" s="16"/>
    </row>
    <row r="377" spans="2:27" ht="15.75" customHeight="1" thickBot="1" x14ac:dyDescent="0.25">
      <c r="B377" s="775"/>
      <c r="C377" s="784"/>
      <c r="D377" s="753" t="s">
        <v>105</v>
      </c>
      <c r="E377" s="754"/>
      <c r="F377" s="753" t="s">
        <v>124</v>
      </c>
      <c r="G377" s="754"/>
      <c r="H377" s="182">
        <v>1.2500000000000001E-2</v>
      </c>
      <c r="I377" s="182">
        <v>8.3333333333333332E-3</v>
      </c>
      <c r="J377" s="411">
        <v>4.1666666666666666E-3</v>
      </c>
      <c r="K377" s="182" t="s">
        <v>52</v>
      </c>
      <c r="L377" s="583">
        <f>1/235</f>
        <v>4.2553191489361703E-3</v>
      </c>
      <c r="N377" s="16"/>
      <c r="R377" s="13"/>
      <c r="S377" s="16"/>
    </row>
    <row r="378" spans="2:27" ht="15.75" customHeight="1" thickBot="1" x14ac:dyDescent="0.25">
      <c r="B378" s="775"/>
      <c r="C378" s="784"/>
      <c r="D378" s="753" t="s">
        <v>105</v>
      </c>
      <c r="E378" s="754"/>
      <c r="F378" s="753" t="s">
        <v>125</v>
      </c>
      <c r="G378" s="754"/>
      <c r="H378" s="182" t="s">
        <v>52</v>
      </c>
      <c r="I378" s="182" t="s">
        <v>52</v>
      </c>
      <c r="J378" s="411" t="s">
        <v>52</v>
      </c>
      <c r="K378" s="411" t="s">
        <v>52</v>
      </c>
      <c r="L378" s="583" t="s">
        <v>52</v>
      </c>
      <c r="N378" s="16"/>
      <c r="R378" s="13"/>
      <c r="S378" s="16"/>
    </row>
    <row r="379" spans="2:27" ht="16" thickBot="1" x14ac:dyDescent="0.25">
      <c r="B379" s="775"/>
      <c r="C379" s="784"/>
      <c r="D379" s="753" t="s">
        <v>126</v>
      </c>
      <c r="E379" s="754"/>
      <c r="F379" s="753" t="s">
        <v>103</v>
      </c>
      <c r="G379" s="754"/>
      <c r="H379" s="182" t="s">
        <v>52</v>
      </c>
      <c r="I379" s="182" t="s">
        <v>52</v>
      </c>
      <c r="J379" s="411" t="s">
        <v>52</v>
      </c>
      <c r="K379" s="411" t="s">
        <v>52</v>
      </c>
      <c r="L379" s="583" t="s">
        <v>52</v>
      </c>
      <c r="N379" s="16"/>
      <c r="R379" s="13"/>
      <c r="S379" s="16"/>
    </row>
    <row r="380" spans="2:27" ht="35.25" customHeight="1" thickBot="1" x14ac:dyDescent="0.25">
      <c r="B380" s="775"/>
      <c r="C380" s="784"/>
      <c r="D380" s="753" t="s">
        <v>126</v>
      </c>
      <c r="E380" s="754"/>
      <c r="F380" s="753" t="s">
        <v>127</v>
      </c>
      <c r="G380" s="754"/>
      <c r="H380" s="182" t="s">
        <v>52</v>
      </c>
      <c r="I380" s="182" t="s">
        <v>52</v>
      </c>
      <c r="J380" s="411" t="s">
        <v>52</v>
      </c>
      <c r="K380" s="411" t="s">
        <v>52</v>
      </c>
      <c r="L380" s="583" t="s">
        <v>52</v>
      </c>
      <c r="N380" s="16"/>
      <c r="R380" s="13"/>
      <c r="S380" s="16"/>
      <c r="X380" s="2"/>
      <c r="Y380" s="2"/>
      <c r="Z380" s="2"/>
      <c r="AA380" s="2"/>
    </row>
    <row r="381" spans="2:27" ht="16" thickBot="1" x14ac:dyDescent="0.25">
      <c r="B381" s="775"/>
      <c r="C381" s="784"/>
      <c r="D381" s="753" t="s">
        <v>101</v>
      </c>
      <c r="E381" s="754"/>
      <c r="F381" s="753" t="s">
        <v>128</v>
      </c>
      <c r="G381" s="754"/>
      <c r="H381" s="182">
        <v>4.1999999999999997E-3</v>
      </c>
      <c r="I381" s="182" t="s">
        <v>52</v>
      </c>
      <c r="J381" s="411" t="s">
        <v>52</v>
      </c>
      <c r="K381" s="182" t="s">
        <v>52</v>
      </c>
      <c r="L381" s="583">
        <f>1/235</f>
        <v>4.2553191489361703E-3</v>
      </c>
      <c r="N381" s="16"/>
      <c r="R381" s="13"/>
      <c r="S381" s="16"/>
      <c r="X381" s="2"/>
      <c r="Y381" s="2"/>
      <c r="Z381" s="2"/>
      <c r="AA381" s="2"/>
    </row>
    <row r="382" spans="2:27" ht="15.75" customHeight="1" thickBot="1" x14ac:dyDescent="0.25">
      <c r="B382" s="775"/>
      <c r="C382" s="784"/>
      <c r="D382" s="753" t="s">
        <v>101</v>
      </c>
      <c r="E382" s="754"/>
      <c r="F382" s="748" t="s">
        <v>129</v>
      </c>
      <c r="G382" s="749"/>
      <c r="H382" s="182" t="s">
        <v>52</v>
      </c>
      <c r="I382" s="182" t="s">
        <v>52</v>
      </c>
      <c r="J382" s="411" t="s">
        <v>52</v>
      </c>
      <c r="K382" s="411" t="s">
        <v>52</v>
      </c>
      <c r="L382" s="583" t="s">
        <v>52</v>
      </c>
      <c r="N382" s="16"/>
      <c r="R382" s="13"/>
      <c r="S382" s="16"/>
      <c r="T382" s="2"/>
      <c r="AA382" s="2"/>
    </row>
    <row r="383" spans="2:27" ht="16" thickBot="1" x14ac:dyDescent="0.25">
      <c r="B383" s="775"/>
      <c r="C383" s="784"/>
      <c r="D383" s="753" t="s">
        <v>130</v>
      </c>
      <c r="E383" s="754"/>
      <c r="F383" s="748"/>
      <c r="G383" s="749"/>
      <c r="H383" s="182">
        <v>0.1125</v>
      </c>
      <c r="I383" s="182">
        <f>22/240</f>
        <v>9.166666666666666E-2</v>
      </c>
      <c r="J383" s="411">
        <v>8.7499999999999994E-2</v>
      </c>
      <c r="K383" s="411">
        <v>0.1059322033898305</v>
      </c>
      <c r="L383" s="583">
        <f>17/235</f>
        <v>7.2340425531914887E-2</v>
      </c>
      <c r="N383" s="16"/>
      <c r="R383" s="13"/>
      <c r="S383" s="16"/>
      <c r="T383" s="2"/>
      <c r="AA383" s="2"/>
    </row>
    <row r="384" spans="2:27" ht="16" thickBot="1" x14ac:dyDescent="0.25">
      <c r="B384" s="776"/>
      <c r="C384" s="785"/>
      <c r="D384" s="786" t="s">
        <v>131</v>
      </c>
      <c r="E384" s="787"/>
      <c r="F384" s="786" t="s">
        <v>52</v>
      </c>
      <c r="G384" s="787"/>
      <c r="H384" s="179">
        <v>0.55420000000000003</v>
      </c>
      <c r="I384" s="179">
        <f>157/240</f>
        <v>0.65416666666666667</v>
      </c>
      <c r="J384" s="412">
        <v>0.67083333333333328</v>
      </c>
      <c r="K384" s="412">
        <v>0.68644067796610164</v>
      </c>
      <c r="L384" s="519">
        <f>172/235</f>
        <v>0.73191489361702122</v>
      </c>
      <c r="R384" s="13"/>
      <c r="S384" s="16"/>
      <c r="T384" s="2"/>
      <c r="AA384" s="2"/>
    </row>
    <row r="385" spans="2:27" x14ac:dyDescent="0.2">
      <c r="R385" s="13"/>
      <c r="S385" s="16"/>
      <c r="T385" s="2"/>
      <c r="AA385" s="2"/>
    </row>
    <row r="386" spans="2:27" ht="36" x14ac:dyDescent="0.2">
      <c r="B386" s="740" t="s">
        <v>75</v>
      </c>
      <c r="C386" s="740"/>
      <c r="D386" s="740" t="s">
        <v>79</v>
      </c>
      <c r="E386" s="740"/>
      <c r="F386" s="740" t="s">
        <v>80</v>
      </c>
      <c r="G386" s="740"/>
      <c r="H386" s="208" t="s">
        <v>81</v>
      </c>
      <c r="I386" s="208" t="s">
        <v>81</v>
      </c>
      <c r="J386" s="208" t="s">
        <v>81</v>
      </c>
      <c r="Q386" s="13"/>
      <c r="S386" s="2"/>
      <c r="Z386" s="2"/>
    </row>
    <row r="387" spans="2:27" x14ac:dyDescent="0.2">
      <c r="B387" s="741"/>
      <c r="C387" s="741"/>
      <c r="D387" s="741"/>
      <c r="E387" s="741"/>
      <c r="F387" s="741"/>
      <c r="G387" s="741"/>
      <c r="H387" s="282" t="s">
        <v>912</v>
      </c>
      <c r="I387" s="282" t="s">
        <v>985</v>
      </c>
      <c r="J387" s="282" t="s">
        <v>1169</v>
      </c>
      <c r="Q387" s="13"/>
      <c r="S387" s="2"/>
      <c r="Z387" s="2"/>
    </row>
    <row r="388" spans="2:27" ht="16" thickBot="1" x14ac:dyDescent="0.25">
      <c r="B388" s="775" t="s">
        <v>931</v>
      </c>
      <c r="C388" s="784"/>
      <c r="D388" s="753" t="s">
        <v>82</v>
      </c>
      <c r="E388" s="754"/>
      <c r="F388" s="753" t="s">
        <v>118</v>
      </c>
      <c r="G388" s="754"/>
      <c r="H388" s="411" t="s">
        <v>52</v>
      </c>
      <c r="I388" s="411">
        <v>6.25E-2</v>
      </c>
      <c r="J388" s="583" t="s">
        <v>52</v>
      </c>
      <c r="Q388" s="13"/>
      <c r="S388" s="2"/>
      <c r="Z388" s="2"/>
    </row>
    <row r="389" spans="2:27" ht="16" thickBot="1" x14ac:dyDescent="0.25">
      <c r="B389" s="775"/>
      <c r="C389" s="784"/>
      <c r="D389" s="753" t="s">
        <v>82</v>
      </c>
      <c r="E389" s="754"/>
      <c r="F389" s="753" t="s">
        <v>84</v>
      </c>
      <c r="G389" s="754"/>
      <c r="H389" s="411" t="s">
        <v>52</v>
      </c>
      <c r="I389" s="411">
        <v>6.25E-2</v>
      </c>
      <c r="J389" s="583">
        <f>1/21</f>
        <v>4.7619047619047616E-2</v>
      </c>
      <c r="Q389" s="13"/>
      <c r="S389" s="2"/>
      <c r="Z389" s="2"/>
    </row>
    <row r="390" spans="2:27" ht="16" thickBot="1" x14ac:dyDescent="0.25">
      <c r="B390" s="775"/>
      <c r="C390" s="784"/>
      <c r="D390" s="753" t="s">
        <v>82</v>
      </c>
      <c r="E390" s="754"/>
      <c r="F390" s="748" t="s">
        <v>119</v>
      </c>
      <c r="G390" s="749"/>
      <c r="H390" s="411" t="s">
        <v>52</v>
      </c>
      <c r="I390" s="411" t="s">
        <v>52</v>
      </c>
      <c r="J390" s="583" t="s">
        <v>52</v>
      </c>
      <c r="S390" s="2"/>
      <c r="Z390" s="2"/>
    </row>
    <row r="391" spans="2:27" ht="16" thickBot="1" x14ac:dyDescent="0.25">
      <c r="B391" s="775"/>
      <c r="C391" s="784"/>
      <c r="D391" s="753" t="s">
        <v>82</v>
      </c>
      <c r="E391" s="754"/>
      <c r="F391" s="753" t="s">
        <v>120</v>
      </c>
      <c r="G391" s="754"/>
      <c r="H391" s="411" t="s">
        <v>52</v>
      </c>
      <c r="I391" s="411" t="s">
        <v>52</v>
      </c>
      <c r="J391" s="583" t="s">
        <v>52</v>
      </c>
      <c r="S391" s="2"/>
      <c r="Z391" s="2"/>
    </row>
    <row r="392" spans="2:27" ht="16" thickBot="1" x14ac:dyDescent="0.25">
      <c r="B392" s="775"/>
      <c r="C392" s="784"/>
      <c r="D392" s="753" t="s">
        <v>82</v>
      </c>
      <c r="E392" s="754"/>
      <c r="F392" s="748" t="s">
        <v>87</v>
      </c>
      <c r="G392" s="749"/>
      <c r="H392" s="411" t="s">
        <v>52</v>
      </c>
      <c r="I392" s="411" t="s">
        <v>52</v>
      </c>
      <c r="J392" s="583" t="s">
        <v>52</v>
      </c>
      <c r="S392" s="2"/>
      <c r="Z392" s="2"/>
    </row>
    <row r="393" spans="2:27" ht="16" thickBot="1" x14ac:dyDescent="0.25">
      <c r="B393" s="775"/>
      <c r="C393" s="784"/>
      <c r="D393" s="753" t="s">
        <v>82</v>
      </c>
      <c r="E393" s="754"/>
      <c r="F393" s="748" t="s">
        <v>121</v>
      </c>
      <c r="G393" s="749"/>
      <c r="H393" s="411" t="s">
        <v>52</v>
      </c>
      <c r="I393" s="411" t="s">
        <v>52</v>
      </c>
      <c r="J393" s="583" t="s">
        <v>52</v>
      </c>
      <c r="S393" s="2"/>
      <c r="Z393" s="2"/>
    </row>
    <row r="394" spans="2:27" ht="16" thickBot="1" x14ac:dyDescent="0.25">
      <c r="B394" s="775"/>
      <c r="C394" s="784"/>
      <c r="D394" s="753" t="s">
        <v>82</v>
      </c>
      <c r="E394" s="754"/>
      <c r="F394" s="753" t="s">
        <v>85</v>
      </c>
      <c r="G394" s="754"/>
      <c r="H394" s="411" t="s">
        <v>52</v>
      </c>
      <c r="I394" s="463" t="s">
        <v>52</v>
      </c>
      <c r="J394" s="583" t="s">
        <v>52</v>
      </c>
      <c r="S394" s="2"/>
      <c r="Z394" s="2"/>
    </row>
    <row r="395" spans="2:27" ht="16" thickBot="1" x14ac:dyDescent="0.25">
      <c r="B395" s="775"/>
      <c r="C395" s="784"/>
      <c r="D395" s="753" t="s">
        <v>92</v>
      </c>
      <c r="E395" s="754"/>
      <c r="F395" s="753" t="s">
        <v>93</v>
      </c>
      <c r="G395" s="754"/>
      <c r="H395" s="411" t="s">
        <v>52</v>
      </c>
      <c r="I395" s="411" t="s">
        <v>52</v>
      </c>
      <c r="J395" s="583" t="s">
        <v>52</v>
      </c>
      <c r="S395" s="2"/>
      <c r="Z395" s="2"/>
    </row>
    <row r="396" spans="2:27" ht="16" thickBot="1" x14ac:dyDescent="0.25">
      <c r="B396" s="775"/>
      <c r="C396" s="784"/>
      <c r="D396" s="753" t="s">
        <v>92</v>
      </c>
      <c r="E396" s="754"/>
      <c r="F396" s="748" t="s">
        <v>94</v>
      </c>
      <c r="G396" s="749"/>
      <c r="H396" s="411" t="s">
        <v>52</v>
      </c>
      <c r="I396" s="411">
        <v>0.125</v>
      </c>
      <c r="J396" s="583">
        <f>1/21</f>
        <v>4.7619047619047616E-2</v>
      </c>
      <c r="S396" s="2"/>
      <c r="Z396" s="2"/>
    </row>
    <row r="397" spans="2:27" ht="16" thickBot="1" x14ac:dyDescent="0.25">
      <c r="B397" s="775"/>
      <c r="C397" s="784"/>
      <c r="D397" s="753" t="s">
        <v>92</v>
      </c>
      <c r="E397" s="754"/>
      <c r="F397" s="748" t="s">
        <v>95</v>
      </c>
      <c r="G397" s="749"/>
      <c r="H397" s="411" t="s">
        <v>52</v>
      </c>
      <c r="I397" s="411">
        <v>0.125</v>
      </c>
      <c r="J397" s="583">
        <f>2/21</f>
        <v>9.5238095238095233E-2</v>
      </c>
      <c r="S397" s="2"/>
      <c r="Z397" s="2"/>
    </row>
    <row r="398" spans="2:27" ht="16" thickBot="1" x14ac:dyDescent="0.25">
      <c r="B398" s="775"/>
      <c r="C398" s="784"/>
      <c r="D398" s="753" t="s">
        <v>92</v>
      </c>
      <c r="E398" s="754"/>
      <c r="F398" s="748" t="s">
        <v>122</v>
      </c>
      <c r="G398" s="749"/>
      <c r="H398" s="411" t="s">
        <v>52</v>
      </c>
      <c r="I398" s="411" t="s">
        <v>52</v>
      </c>
      <c r="J398" s="583" t="s">
        <v>52</v>
      </c>
      <c r="S398" s="2"/>
      <c r="Z398" s="2"/>
    </row>
    <row r="399" spans="2:27" ht="16" thickBot="1" x14ac:dyDescent="0.25">
      <c r="B399" s="775"/>
      <c r="C399" s="784"/>
      <c r="D399" s="753" t="s">
        <v>92</v>
      </c>
      <c r="E399" s="754"/>
      <c r="F399" s="748" t="s">
        <v>97</v>
      </c>
      <c r="G399" s="749"/>
      <c r="H399" s="411">
        <v>0.375</v>
      </c>
      <c r="I399" s="411">
        <v>0.125</v>
      </c>
      <c r="J399" s="583">
        <f>2/21</f>
        <v>9.5238095238095233E-2</v>
      </c>
      <c r="S399" s="2"/>
      <c r="Z399" s="2"/>
    </row>
    <row r="400" spans="2:27" ht="16" thickBot="1" x14ac:dyDescent="0.25">
      <c r="B400" s="775"/>
      <c r="C400" s="784"/>
      <c r="D400" s="753" t="s">
        <v>92</v>
      </c>
      <c r="E400" s="754"/>
      <c r="F400" s="748" t="s">
        <v>100</v>
      </c>
      <c r="G400" s="749"/>
      <c r="H400" s="411" t="s">
        <v>52</v>
      </c>
      <c r="I400" s="411">
        <v>6.25E-2</v>
      </c>
      <c r="J400" s="583">
        <f>2/21</f>
        <v>9.5238095238095233E-2</v>
      </c>
      <c r="S400" s="2"/>
      <c r="Z400" s="2"/>
    </row>
    <row r="401" spans="2:26" ht="16" thickBot="1" x14ac:dyDescent="0.25">
      <c r="B401" s="775"/>
      <c r="C401" s="784"/>
      <c r="D401" s="753" t="s">
        <v>92</v>
      </c>
      <c r="E401" s="754"/>
      <c r="F401" s="748" t="s">
        <v>123</v>
      </c>
      <c r="G401" s="749"/>
      <c r="H401" s="411" t="s">
        <v>52</v>
      </c>
      <c r="I401" s="411" t="s">
        <v>52</v>
      </c>
      <c r="J401" s="583">
        <f>1/21</f>
        <v>4.7619047619047616E-2</v>
      </c>
      <c r="S401" s="2"/>
      <c r="Z401" s="2"/>
    </row>
    <row r="402" spans="2:26" ht="16" thickBot="1" x14ac:dyDescent="0.25">
      <c r="B402" s="775"/>
      <c r="C402" s="784"/>
      <c r="D402" s="753" t="s">
        <v>92</v>
      </c>
      <c r="E402" s="754"/>
      <c r="F402" s="748" t="s">
        <v>98</v>
      </c>
      <c r="G402" s="749"/>
      <c r="H402" s="411" t="s">
        <v>52</v>
      </c>
      <c r="I402" s="411" t="s">
        <v>52</v>
      </c>
      <c r="J402" s="583" t="s">
        <v>52</v>
      </c>
      <c r="S402" s="2"/>
    </row>
    <row r="403" spans="2:26" ht="16" thickBot="1" x14ac:dyDescent="0.25">
      <c r="B403" s="775"/>
      <c r="C403" s="784"/>
      <c r="D403" s="753" t="s">
        <v>92</v>
      </c>
      <c r="E403" s="754"/>
      <c r="F403" s="748" t="s">
        <v>99</v>
      </c>
      <c r="G403" s="749"/>
      <c r="H403" s="411" t="s">
        <v>52</v>
      </c>
      <c r="I403" s="411" t="s">
        <v>52</v>
      </c>
      <c r="J403" s="583" t="s">
        <v>52</v>
      </c>
      <c r="X403" s="3"/>
    </row>
    <row r="404" spans="2:26" ht="16" thickBot="1" x14ac:dyDescent="0.25">
      <c r="B404" s="775"/>
      <c r="C404" s="784"/>
      <c r="D404" s="753" t="s">
        <v>92</v>
      </c>
      <c r="E404" s="754"/>
      <c r="F404" s="748" t="s">
        <v>96</v>
      </c>
      <c r="G404" s="749"/>
      <c r="H404" s="411" t="s">
        <v>52</v>
      </c>
      <c r="I404" s="411" t="s">
        <v>52</v>
      </c>
      <c r="J404" s="583">
        <f>1/21</f>
        <v>4.7619047619047616E-2</v>
      </c>
    </row>
    <row r="405" spans="2:26" ht="15.75" customHeight="1" thickBot="1" x14ac:dyDescent="0.25">
      <c r="B405" s="775"/>
      <c r="C405" s="784"/>
      <c r="D405" s="753" t="s">
        <v>105</v>
      </c>
      <c r="E405" s="754"/>
      <c r="F405" s="753" t="s">
        <v>124</v>
      </c>
      <c r="G405" s="754"/>
      <c r="H405" s="411" t="s">
        <v>52</v>
      </c>
      <c r="I405" s="411">
        <v>6.25E-2</v>
      </c>
      <c r="J405" s="583">
        <f>2/21</f>
        <v>9.5238095238095233E-2</v>
      </c>
    </row>
    <row r="406" spans="2:26" ht="15.75" customHeight="1" thickBot="1" x14ac:dyDescent="0.25">
      <c r="B406" s="775"/>
      <c r="C406" s="784"/>
      <c r="D406" s="753" t="s">
        <v>105</v>
      </c>
      <c r="E406" s="754"/>
      <c r="F406" s="753" t="s">
        <v>125</v>
      </c>
      <c r="G406" s="754"/>
      <c r="H406" s="411" t="s">
        <v>52</v>
      </c>
      <c r="I406" s="411" t="s">
        <v>52</v>
      </c>
      <c r="J406" s="583" t="s">
        <v>52</v>
      </c>
    </row>
    <row r="407" spans="2:26" ht="16" thickBot="1" x14ac:dyDescent="0.25">
      <c r="B407" s="775"/>
      <c r="C407" s="784"/>
      <c r="D407" s="753" t="s">
        <v>126</v>
      </c>
      <c r="E407" s="754"/>
      <c r="F407" s="753" t="s">
        <v>102</v>
      </c>
      <c r="G407" s="754"/>
      <c r="H407" s="411" t="s">
        <v>52</v>
      </c>
      <c r="I407" s="411">
        <v>6.25E-2</v>
      </c>
      <c r="J407" s="583" t="s">
        <v>52</v>
      </c>
    </row>
    <row r="408" spans="2:26" ht="16" thickBot="1" x14ac:dyDescent="0.25">
      <c r="B408" s="775"/>
      <c r="C408" s="784"/>
      <c r="D408" s="753" t="s">
        <v>126</v>
      </c>
      <c r="E408" s="754"/>
      <c r="F408" s="753" t="s">
        <v>127</v>
      </c>
      <c r="G408" s="754"/>
      <c r="H408" s="411" t="s">
        <v>52</v>
      </c>
      <c r="I408" s="411" t="s">
        <v>52</v>
      </c>
      <c r="J408" s="583" t="s">
        <v>52</v>
      </c>
    </row>
    <row r="409" spans="2:26" ht="16" thickBot="1" x14ac:dyDescent="0.25">
      <c r="B409" s="775"/>
      <c r="C409" s="784"/>
      <c r="D409" s="753" t="s">
        <v>101</v>
      </c>
      <c r="E409" s="754"/>
      <c r="F409" s="753" t="s">
        <v>104</v>
      </c>
      <c r="G409" s="754"/>
      <c r="H409" s="411" t="s">
        <v>52</v>
      </c>
      <c r="I409" s="411" t="s">
        <v>52</v>
      </c>
      <c r="J409" s="583" t="s">
        <v>52</v>
      </c>
      <c r="Q409" s="3"/>
    </row>
    <row r="410" spans="2:26" ht="16" thickBot="1" x14ac:dyDescent="0.25">
      <c r="B410" s="775"/>
      <c r="C410" s="784"/>
      <c r="D410" s="753" t="s">
        <v>101</v>
      </c>
      <c r="E410" s="754"/>
      <c r="F410" s="748" t="s">
        <v>129</v>
      </c>
      <c r="G410" s="749"/>
      <c r="H410" s="411" t="s">
        <v>52</v>
      </c>
      <c r="I410" s="411" t="s">
        <v>52</v>
      </c>
      <c r="J410" s="583" t="s">
        <v>52</v>
      </c>
    </row>
    <row r="411" spans="2:26" ht="16" thickBot="1" x14ac:dyDescent="0.25">
      <c r="B411" s="775"/>
      <c r="C411" s="784"/>
      <c r="D411" s="753" t="s">
        <v>130</v>
      </c>
      <c r="E411" s="754"/>
      <c r="F411" s="748" t="s">
        <v>52</v>
      </c>
      <c r="G411" s="749"/>
      <c r="H411" s="411">
        <v>0.25</v>
      </c>
      <c r="I411" s="411">
        <v>6.25E-2</v>
      </c>
      <c r="J411" s="583">
        <f>2/21</f>
        <v>9.5238095238095233E-2</v>
      </c>
    </row>
    <row r="412" spans="2:26" ht="16" thickBot="1" x14ac:dyDescent="0.25">
      <c r="B412" s="776"/>
      <c r="C412" s="785"/>
      <c r="D412" s="786" t="s">
        <v>131</v>
      </c>
      <c r="E412" s="787"/>
      <c r="F412" s="786" t="s">
        <v>52</v>
      </c>
      <c r="G412" s="787"/>
      <c r="H412" s="412">
        <v>0.375</v>
      </c>
      <c r="I412" s="412">
        <v>0.25</v>
      </c>
      <c r="J412" s="519">
        <f>7/21</f>
        <v>0.33333333333333331</v>
      </c>
    </row>
    <row r="413" spans="2:26" x14ac:dyDescent="0.2">
      <c r="B413" s="3" t="s">
        <v>1483</v>
      </c>
    </row>
    <row r="414" spans="2:26" x14ac:dyDescent="0.2">
      <c r="B414" s="3" t="s">
        <v>42</v>
      </c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45" spans="9:9" x14ac:dyDescent="0.2">
      <c r="I445" s="6"/>
    </row>
  </sheetData>
  <sortState xmlns:xlrd2="http://schemas.microsoft.com/office/spreadsheetml/2017/richdata2" ref="Q363:T385">
    <sortCondition ref="Q362:Q385"/>
  </sortState>
  <mergeCells count="413">
    <mergeCell ref="D401:E401"/>
    <mergeCell ref="F401:G401"/>
    <mergeCell ref="D402:E402"/>
    <mergeCell ref="F402:G402"/>
    <mergeCell ref="D403:E403"/>
    <mergeCell ref="F403:G403"/>
    <mergeCell ref="D404:E404"/>
    <mergeCell ref="B357:C358"/>
    <mergeCell ref="D359:E359"/>
    <mergeCell ref="F359:G359"/>
    <mergeCell ref="D360:E360"/>
    <mergeCell ref="F360:G360"/>
    <mergeCell ref="D361:E361"/>
    <mergeCell ref="F361:G361"/>
    <mergeCell ref="B359:C384"/>
    <mergeCell ref="D362:E362"/>
    <mergeCell ref="F362:G362"/>
    <mergeCell ref="D363:E363"/>
    <mergeCell ref="F363:G363"/>
    <mergeCell ref="D364:E364"/>
    <mergeCell ref="F364:G364"/>
    <mergeCell ref="D365:E365"/>
    <mergeCell ref="D371:E371"/>
    <mergeCell ref="F371:G371"/>
    <mergeCell ref="D411:E411"/>
    <mergeCell ref="F411:G411"/>
    <mergeCell ref="D412:E412"/>
    <mergeCell ref="F412:G412"/>
    <mergeCell ref="D406:E406"/>
    <mergeCell ref="F406:G406"/>
    <mergeCell ref="D407:E407"/>
    <mergeCell ref="F407:G407"/>
    <mergeCell ref="D408:E408"/>
    <mergeCell ref="F408:G408"/>
    <mergeCell ref="D409:E409"/>
    <mergeCell ref="F409:G409"/>
    <mergeCell ref="D410:E410"/>
    <mergeCell ref="F410:G410"/>
    <mergeCell ref="D396:E396"/>
    <mergeCell ref="F396:G396"/>
    <mergeCell ref="D397:E397"/>
    <mergeCell ref="F397:G397"/>
    <mergeCell ref="D398:E398"/>
    <mergeCell ref="F398:G398"/>
    <mergeCell ref="D399:E399"/>
    <mergeCell ref="F399:G399"/>
    <mergeCell ref="D400:E400"/>
    <mergeCell ref="F400:G400"/>
    <mergeCell ref="B312:C313"/>
    <mergeCell ref="D346:E346"/>
    <mergeCell ref="D348:E348"/>
    <mergeCell ref="D349:E349"/>
    <mergeCell ref="B388:C412"/>
    <mergeCell ref="D388:E388"/>
    <mergeCell ref="F388:G388"/>
    <mergeCell ref="D389:E389"/>
    <mergeCell ref="F389:G389"/>
    <mergeCell ref="D390:E390"/>
    <mergeCell ref="F390:G390"/>
    <mergeCell ref="D391:E391"/>
    <mergeCell ref="F391:G391"/>
    <mergeCell ref="D392:E392"/>
    <mergeCell ref="F392:G392"/>
    <mergeCell ref="D393:E393"/>
    <mergeCell ref="F393:G393"/>
    <mergeCell ref="D394:E394"/>
    <mergeCell ref="F394:G394"/>
    <mergeCell ref="D395:E395"/>
    <mergeCell ref="F395:G395"/>
    <mergeCell ref="F404:G404"/>
    <mergeCell ref="D405:E405"/>
    <mergeCell ref="F405:G405"/>
    <mergeCell ref="B386:C387"/>
    <mergeCell ref="D386:E387"/>
    <mergeCell ref="F386:G387"/>
    <mergeCell ref="F365:G365"/>
    <mergeCell ref="D375:E375"/>
    <mergeCell ref="F375:G375"/>
    <mergeCell ref="D376:E376"/>
    <mergeCell ref="F376:G376"/>
    <mergeCell ref="D377:E377"/>
    <mergeCell ref="F377:G377"/>
    <mergeCell ref="D372:E372"/>
    <mergeCell ref="F374:G374"/>
    <mergeCell ref="F382:G382"/>
    <mergeCell ref="D383:E383"/>
    <mergeCell ref="F383:G383"/>
    <mergeCell ref="D378:E378"/>
    <mergeCell ref="F378:G378"/>
    <mergeCell ref="F366:G366"/>
    <mergeCell ref="D382:E382"/>
    <mergeCell ref="F367:G367"/>
    <mergeCell ref="D384:E384"/>
    <mergeCell ref="F384:G384"/>
    <mergeCell ref="D366:E366"/>
    <mergeCell ref="D379:E379"/>
    <mergeCell ref="F320:G320"/>
    <mergeCell ref="F319:G319"/>
    <mergeCell ref="F321:G321"/>
    <mergeCell ref="D42:F42"/>
    <mergeCell ref="D43:F43"/>
    <mergeCell ref="D101:F101"/>
    <mergeCell ref="D102:F102"/>
    <mergeCell ref="D103:F103"/>
    <mergeCell ref="D104:F104"/>
    <mergeCell ref="D105:F105"/>
    <mergeCell ref="D106:F106"/>
    <mergeCell ref="D107:F107"/>
    <mergeCell ref="D49:F49"/>
    <mergeCell ref="D56:F56"/>
    <mergeCell ref="D54:F54"/>
    <mergeCell ref="D53:F53"/>
    <mergeCell ref="D52:F52"/>
    <mergeCell ref="D51:F51"/>
    <mergeCell ref="D50:F50"/>
    <mergeCell ref="D55:F55"/>
    <mergeCell ref="D88:F88"/>
    <mergeCell ref="D87:F87"/>
    <mergeCell ref="D84:F84"/>
    <mergeCell ref="D83:F83"/>
    <mergeCell ref="D312:E313"/>
    <mergeCell ref="F316:G316"/>
    <mergeCell ref="F322:G322"/>
    <mergeCell ref="F323:G323"/>
    <mergeCell ref="D357:E358"/>
    <mergeCell ref="F357:G358"/>
    <mergeCell ref="F344:G344"/>
    <mergeCell ref="F346:G346"/>
    <mergeCell ref="F317:G317"/>
    <mergeCell ref="F349:G349"/>
    <mergeCell ref="F350:G350"/>
    <mergeCell ref="F351:G351"/>
    <mergeCell ref="F336:G336"/>
    <mergeCell ref="F338:G338"/>
    <mergeCell ref="F339:G339"/>
    <mergeCell ref="F342:G342"/>
    <mergeCell ref="F343:G343"/>
    <mergeCell ref="F337:G337"/>
    <mergeCell ref="F353:G353"/>
    <mergeCell ref="F352:G352"/>
    <mergeCell ref="F348:G348"/>
    <mergeCell ref="D351:E351"/>
    <mergeCell ref="F324:G324"/>
    <mergeCell ref="F325:G325"/>
    <mergeCell ref="F331:G331"/>
    <mergeCell ref="F334:G334"/>
    <mergeCell ref="F335:G335"/>
    <mergeCell ref="F328:G328"/>
    <mergeCell ref="F333:G333"/>
    <mergeCell ref="D350:E350"/>
    <mergeCell ref="D336:E336"/>
    <mergeCell ref="D338:E338"/>
    <mergeCell ref="D339:E339"/>
    <mergeCell ref="D342:E342"/>
    <mergeCell ref="D343:E343"/>
    <mergeCell ref="D329:E329"/>
    <mergeCell ref="D330:E330"/>
    <mergeCell ref="D331:E331"/>
    <mergeCell ref="D334:E334"/>
    <mergeCell ref="D335:E335"/>
    <mergeCell ref="D344:E344"/>
    <mergeCell ref="D367:E367"/>
    <mergeCell ref="D369:E369"/>
    <mergeCell ref="F369:G369"/>
    <mergeCell ref="D381:E381"/>
    <mergeCell ref="F381:G381"/>
    <mergeCell ref="D355:E355"/>
    <mergeCell ref="D353:E353"/>
    <mergeCell ref="D347:E347"/>
    <mergeCell ref="F347:G347"/>
    <mergeCell ref="F379:G379"/>
    <mergeCell ref="D380:E380"/>
    <mergeCell ref="F380:G380"/>
    <mergeCell ref="D368:E368"/>
    <mergeCell ref="F372:G372"/>
    <mergeCell ref="D373:E373"/>
    <mergeCell ref="F373:G373"/>
    <mergeCell ref="D374:E374"/>
    <mergeCell ref="F368:G368"/>
    <mergeCell ref="D370:E370"/>
    <mergeCell ref="F370:G370"/>
    <mergeCell ref="B314:C355"/>
    <mergeCell ref="D352:E352"/>
    <mergeCell ref="D345:E345"/>
    <mergeCell ref="F355:G355"/>
    <mergeCell ref="D315:E315"/>
    <mergeCell ref="D316:E316"/>
    <mergeCell ref="D317:E317"/>
    <mergeCell ref="D318:E318"/>
    <mergeCell ref="F332:G332"/>
    <mergeCell ref="D337:E337"/>
    <mergeCell ref="D333:E333"/>
    <mergeCell ref="D320:E320"/>
    <mergeCell ref="D341:E341"/>
    <mergeCell ref="D319:E319"/>
    <mergeCell ref="D321:E321"/>
    <mergeCell ref="D322:E322"/>
    <mergeCell ref="D323:E323"/>
    <mergeCell ref="D327:E327"/>
    <mergeCell ref="D314:E314"/>
    <mergeCell ref="F341:G341"/>
    <mergeCell ref="F327:G327"/>
    <mergeCell ref="F329:G329"/>
    <mergeCell ref="F330:G330"/>
    <mergeCell ref="F315:G315"/>
    <mergeCell ref="B304:C306"/>
    <mergeCell ref="B293:C293"/>
    <mergeCell ref="D293:E293"/>
    <mergeCell ref="B249:C250"/>
    <mergeCell ref="D249:D250"/>
    <mergeCell ref="E250:G250"/>
    <mergeCell ref="B294:C296"/>
    <mergeCell ref="D296:E296"/>
    <mergeCell ref="D295:E295"/>
    <mergeCell ref="D294:E294"/>
    <mergeCell ref="B298:C298"/>
    <mergeCell ref="D298:E298"/>
    <mergeCell ref="B299:C301"/>
    <mergeCell ref="D299:E299"/>
    <mergeCell ref="D300:E300"/>
    <mergeCell ref="D301:E301"/>
    <mergeCell ref="B269:C270"/>
    <mergeCell ref="D269:D270"/>
    <mergeCell ref="B251:C267"/>
    <mergeCell ref="D304:E304"/>
    <mergeCell ref="D305:E305"/>
    <mergeCell ref="D306:E306"/>
    <mergeCell ref="B122:C124"/>
    <mergeCell ref="D122:F122"/>
    <mergeCell ref="B121:C121"/>
    <mergeCell ref="D121:F121"/>
    <mergeCell ref="B185:C201"/>
    <mergeCell ref="B229:C230"/>
    <mergeCell ref="B161:C161"/>
    <mergeCell ref="B160:C160"/>
    <mergeCell ref="B205:C221"/>
    <mergeCell ref="B143:C143"/>
    <mergeCell ref="D143:E143"/>
    <mergeCell ref="D144:E144"/>
    <mergeCell ref="D145:E145"/>
    <mergeCell ref="D146:E146"/>
    <mergeCell ref="D147:E147"/>
    <mergeCell ref="D148:E148"/>
    <mergeCell ref="D149:E149"/>
    <mergeCell ref="B144:C149"/>
    <mergeCell ref="D151:E151"/>
    <mergeCell ref="B152:C157"/>
    <mergeCell ref="D155:E155"/>
    <mergeCell ref="B150:C150"/>
    <mergeCell ref="B203:C204"/>
    <mergeCell ref="Q184:S184"/>
    <mergeCell ref="Q164:S164"/>
    <mergeCell ref="N164:P164"/>
    <mergeCell ref="N184:P184"/>
    <mergeCell ref="E183:S183"/>
    <mergeCell ref="E270:G270"/>
    <mergeCell ref="B271:C287"/>
    <mergeCell ref="B303:C303"/>
    <mergeCell ref="D303:E303"/>
    <mergeCell ref="Q230:S230"/>
    <mergeCell ref="Q250:S250"/>
    <mergeCell ref="H250:J250"/>
    <mergeCell ref="B231:C247"/>
    <mergeCell ref="N230:P230"/>
    <mergeCell ref="D229:D230"/>
    <mergeCell ref="E230:G230"/>
    <mergeCell ref="H230:J230"/>
    <mergeCell ref="K230:M230"/>
    <mergeCell ref="K250:M250"/>
    <mergeCell ref="N250:P250"/>
    <mergeCell ref="B163:C164"/>
    <mergeCell ref="B165:C181"/>
    <mergeCell ref="B183:C184"/>
    <mergeCell ref="E184:G184"/>
    <mergeCell ref="B15:C15"/>
    <mergeCell ref="B16:C23"/>
    <mergeCell ref="D15:F15"/>
    <mergeCell ref="D23:F23"/>
    <mergeCell ref="D22:F22"/>
    <mergeCell ref="D21:F21"/>
    <mergeCell ref="D20:F20"/>
    <mergeCell ref="D19:F19"/>
    <mergeCell ref="D18:F18"/>
    <mergeCell ref="D17:F17"/>
    <mergeCell ref="D16:F16"/>
    <mergeCell ref="B58:C58"/>
    <mergeCell ref="D58:F58"/>
    <mergeCell ref="B49:C49"/>
    <mergeCell ref="B25:C25"/>
    <mergeCell ref="D25:F25"/>
    <mergeCell ref="B26:C33"/>
    <mergeCell ref="D26:F26"/>
    <mergeCell ref="D27:F27"/>
    <mergeCell ref="D28:F28"/>
    <mergeCell ref="D29:F29"/>
    <mergeCell ref="D30:F30"/>
    <mergeCell ref="D31:F31"/>
    <mergeCell ref="D32:F32"/>
    <mergeCell ref="D33:F33"/>
    <mergeCell ref="B35:C35"/>
    <mergeCell ref="D35:F35"/>
    <mergeCell ref="B36:C43"/>
    <mergeCell ref="D36:F36"/>
    <mergeCell ref="D37:F37"/>
    <mergeCell ref="D38:F38"/>
    <mergeCell ref="D39:F39"/>
    <mergeCell ref="D40:F40"/>
    <mergeCell ref="D41:F41"/>
    <mergeCell ref="B50:C56"/>
    <mergeCell ref="B59:C64"/>
    <mergeCell ref="D59:F59"/>
    <mergeCell ref="D60:F60"/>
    <mergeCell ref="D61:F61"/>
    <mergeCell ref="D62:F62"/>
    <mergeCell ref="D63:F63"/>
    <mergeCell ref="D64:F64"/>
    <mergeCell ref="B78:C78"/>
    <mergeCell ref="D78:F78"/>
    <mergeCell ref="B66:C66"/>
    <mergeCell ref="D66:F66"/>
    <mergeCell ref="B67:C72"/>
    <mergeCell ref="D67:F67"/>
    <mergeCell ref="D68:F68"/>
    <mergeCell ref="D69:F69"/>
    <mergeCell ref="D70:F70"/>
    <mergeCell ref="D71:F71"/>
    <mergeCell ref="D72:F72"/>
    <mergeCell ref="D119:F119"/>
    <mergeCell ref="E164:G164"/>
    <mergeCell ref="H164:J164"/>
    <mergeCell ref="K164:M164"/>
    <mergeCell ref="D163:D164"/>
    <mergeCell ref="D203:D204"/>
    <mergeCell ref="E204:G204"/>
    <mergeCell ref="K184:M184"/>
    <mergeCell ref="D129:F129"/>
    <mergeCell ref="D156:E156"/>
    <mergeCell ref="D157:E157"/>
    <mergeCell ref="D123:F123"/>
    <mergeCell ref="D124:F124"/>
    <mergeCell ref="D135:E135"/>
    <mergeCell ref="D141:E141"/>
    <mergeCell ref="D140:E140"/>
    <mergeCell ref="D138:E138"/>
    <mergeCell ref="D139:E139"/>
    <mergeCell ref="D137:E137"/>
    <mergeCell ref="H184:J184"/>
    <mergeCell ref="D152:E152"/>
    <mergeCell ref="D153:E153"/>
    <mergeCell ref="D154:E154"/>
    <mergeCell ref="D183:D184"/>
    <mergeCell ref="B90:C90"/>
    <mergeCell ref="D90:F90"/>
    <mergeCell ref="B79:C88"/>
    <mergeCell ref="D82:F82"/>
    <mergeCell ref="D81:F81"/>
    <mergeCell ref="D80:F80"/>
    <mergeCell ref="D79:F79"/>
    <mergeCell ref="D86:F86"/>
    <mergeCell ref="B151:C151"/>
    <mergeCell ref="B116:C116"/>
    <mergeCell ref="B117:C119"/>
    <mergeCell ref="B136:C141"/>
    <mergeCell ref="B135:C135"/>
    <mergeCell ref="D136:E136"/>
    <mergeCell ref="D126:F126"/>
    <mergeCell ref="D127:F127"/>
    <mergeCell ref="D128:F128"/>
    <mergeCell ref="B126:C126"/>
    <mergeCell ref="B127:C129"/>
    <mergeCell ref="B91:C99"/>
    <mergeCell ref="D91:F91"/>
    <mergeCell ref="D92:F92"/>
    <mergeCell ref="D93:F93"/>
    <mergeCell ref="D99:F99"/>
    <mergeCell ref="D117:F117"/>
    <mergeCell ref="D118:F118"/>
    <mergeCell ref="D116:F116"/>
    <mergeCell ref="D94:F94"/>
    <mergeCell ref="D95:F95"/>
    <mergeCell ref="D96:F96"/>
    <mergeCell ref="D97:F97"/>
    <mergeCell ref="D98:F98"/>
    <mergeCell ref="B115:K115"/>
    <mergeCell ref="B101:C101"/>
    <mergeCell ref="B102:C110"/>
    <mergeCell ref="D108:F108"/>
    <mergeCell ref="D109:F109"/>
    <mergeCell ref="D110:F110"/>
    <mergeCell ref="H204:J204"/>
    <mergeCell ref="H270:J270"/>
    <mergeCell ref="F326:G326"/>
    <mergeCell ref="F345:G345"/>
    <mergeCell ref="H357:L357"/>
    <mergeCell ref="K204:M204"/>
    <mergeCell ref="E203:M203"/>
    <mergeCell ref="E229:S229"/>
    <mergeCell ref="E249:S249"/>
    <mergeCell ref="K270:M270"/>
    <mergeCell ref="E269:M269"/>
    <mergeCell ref="H312:L312"/>
    <mergeCell ref="D325:E325"/>
    <mergeCell ref="D326:E326"/>
    <mergeCell ref="D324:E324"/>
    <mergeCell ref="F318:G318"/>
    <mergeCell ref="D328:E328"/>
    <mergeCell ref="D354:E354"/>
    <mergeCell ref="F354:G354"/>
    <mergeCell ref="D340:E340"/>
    <mergeCell ref="F340:G340"/>
    <mergeCell ref="D332:E332"/>
    <mergeCell ref="F312:G313"/>
    <mergeCell ref="F314:G314"/>
  </mergeCells>
  <phoneticPr fontId="32" type="noConversion"/>
  <conditionalFormatting sqref="W115">
    <cfRule type="cellIs" dxfId="56" priority="10" operator="between">
      <formula>7</formula>
      <formula>7.99</formula>
    </cfRule>
    <cfRule type="cellIs" dxfId="55" priority="11" operator="between">
      <formula>6</formula>
      <formula>6.99</formula>
    </cfRule>
    <cfRule type="cellIs" dxfId="54" priority="12" operator="between">
      <formula>5</formula>
      <formula>6</formula>
    </cfRule>
  </conditionalFormatting>
  <conditionalFormatting sqref="W131">
    <cfRule type="cellIs" dxfId="53" priority="1" operator="between">
      <formula>7</formula>
      <formula>7.99</formula>
    </cfRule>
    <cfRule type="cellIs" dxfId="52" priority="2" operator="between">
      <formula>6</formula>
      <formula>6.99</formula>
    </cfRule>
    <cfRule type="cellIs" dxfId="51" priority="3" operator="between">
      <formula>5</formula>
      <formula>6</formula>
    </cfRule>
  </conditionalFormatting>
  <pageMargins left="0.7" right="0.7" top="0.75" bottom="0.75" header="0.3" footer="0.3"/>
  <pageSetup paperSize="9" orientation="portrait" r:id="rId1"/>
  <ignoredErrors>
    <ignoredError sqref="H28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25"/>
  <sheetViews>
    <sheetView zoomScaleNormal="100" workbookViewId="0">
      <selection activeCell="F81" sqref="F81"/>
    </sheetView>
  </sheetViews>
  <sheetFormatPr baseColWidth="10" defaultColWidth="11.5" defaultRowHeight="15" x14ac:dyDescent="0.2"/>
  <cols>
    <col min="11" max="11" width="20" customWidth="1"/>
  </cols>
  <sheetData>
    <row r="1" spans="1:14" x14ac:dyDescent="0.2">
      <c r="C1" s="34"/>
      <c r="D1" s="35"/>
    </row>
    <row r="2" spans="1:14" x14ac:dyDescent="0.2">
      <c r="C2" s="34"/>
      <c r="D2" s="35"/>
    </row>
    <row r="3" spans="1:14" ht="16" x14ac:dyDescent="0.2">
      <c r="B3" s="32"/>
      <c r="C3" s="34"/>
      <c r="D3" s="35"/>
    </row>
    <row r="4" spans="1:14" ht="16" x14ac:dyDescent="0.2">
      <c r="B4" s="32"/>
      <c r="C4" s="34"/>
      <c r="D4" s="35"/>
    </row>
    <row r="5" spans="1:14" ht="16" x14ac:dyDescent="0.2">
      <c r="B5" s="32"/>
      <c r="C5" s="34"/>
      <c r="D5" s="35"/>
    </row>
    <row r="6" spans="1:14" ht="16" x14ac:dyDescent="0.2">
      <c r="B6" s="32"/>
      <c r="C6" s="34"/>
      <c r="D6" s="35"/>
    </row>
    <row r="7" spans="1:14" ht="18" x14ac:dyDescent="0.2">
      <c r="B7" s="1" t="s">
        <v>0</v>
      </c>
      <c r="C7" s="34"/>
      <c r="D7" s="35"/>
    </row>
    <row r="8" spans="1:14" x14ac:dyDescent="0.2">
      <c r="C8" s="34"/>
      <c r="D8" s="35"/>
    </row>
    <row r="9" spans="1:14" ht="18" x14ac:dyDescent="0.2">
      <c r="B9" s="1" t="s">
        <v>669</v>
      </c>
      <c r="C9" s="34"/>
      <c r="D9" s="35"/>
    </row>
    <row r="10" spans="1:14" ht="18" x14ac:dyDescent="0.2">
      <c r="B10" s="1"/>
      <c r="C10" s="34"/>
      <c r="D10" s="35"/>
    </row>
    <row r="11" spans="1:14" ht="16" x14ac:dyDescent="0.2">
      <c r="B11" s="32"/>
      <c r="C11" s="34"/>
      <c r="D11" s="35"/>
    </row>
    <row r="12" spans="1:14" x14ac:dyDescent="0.2">
      <c r="A12" s="49"/>
      <c r="B12" s="211" t="s">
        <v>817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N12" t="s">
        <v>930</v>
      </c>
    </row>
    <row r="13" spans="1:14" ht="21" customHeight="1" x14ac:dyDescent="0.2">
      <c r="B13" s="734" t="s">
        <v>132</v>
      </c>
      <c r="C13" s="734"/>
      <c r="D13" s="734" t="s">
        <v>133</v>
      </c>
      <c r="E13" s="734"/>
      <c r="F13" s="734"/>
      <c r="G13" s="734" t="s">
        <v>134</v>
      </c>
      <c r="H13" s="734"/>
      <c r="I13" s="734"/>
      <c r="J13" s="734"/>
      <c r="K13" s="734"/>
    </row>
    <row r="14" spans="1:14" ht="15" customHeight="1" x14ac:dyDescent="0.2">
      <c r="B14" s="791" t="s">
        <v>135</v>
      </c>
      <c r="C14" s="792"/>
      <c r="D14" s="797" t="s">
        <v>856</v>
      </c>
      <c r="E14" s="798"/>
      <c r="F14" s="798"/>
      <c r="G14" s="802" t="s">
        <v>1463</v>
      </c>
      <c r="H14" s="803"/>
      <c r="I14" s="803"/>
      <c r="J14" s="803"/>
      <c r="K14" s="803"/>
      <c r="L14" s="168"/>
    </row>
    <row r="15" spans="1:14" x14ac:dyDescent="0.2">
      <c r="B15" s="791"/>
      <c r="C15" s="792"/>
      <c r="D15" s="797" t="s">
        <v>857</v>
      </c>
      <c r="E15" s="798"/>
      <c r="F15" s="798"/>
      <c r="G15" s="804"/>
      <c r="H15" s="805"/>
      <c r="I15" s="805"/>
      <c r="J15" s="805"/>
      <c r="K15" s="805"/>
      <c r="L15" s="168"/>
    </row>
    <row r="16" spans="1:14" ht="15" customHeight="1" x14ac:dyDescent="0.2">
      <c r="B16" s="791"/>
      <c r="C16" s="792"/>
      <c r="D16" s="797" t="s">
        <v>858</v>
      </c>
      <c r="E16" s="798"/>
      <c r="F16" s="798"/>
      <c r="G16" s="804"/>
      <c r="H16" s="805"/>
      <c r="I16" s="805"/>
      <c r="J16" s="805"/>
      <c r="K16" s="805"/>
      <c r="L16" s="168"/>
    </row>
    <row r="17" spans="2:12" ht="35.25" customHeight="1" x14ac:dyDescent="0.2">
      <c r="B17" s="791"/>
      <c r="C17" s="792"/>
      <c r="D17" s="797" t="s">
        <v>136</v>
      </c>
      <c r="E17" s="798"/>
      <c r="F17" s="798"/>
      <c r="G17" s="804"/>
      <c r="H17" s="805"/>
      <c r="I17" s="805"/>
      <c r="J17" s="805"/>
      <c r="K17" s="805"/>
      <c r="L17" s="168"/>
    </row>
    <row r="18" spans="2:12" ht="62.25" customHeight="1" x14ac:dyDescent="0.2">
      <c r="B18" s="791"/>
      <c r="C18" s="792"/>
      <c r="D18" s="797" t="s">
        <v>859</v>
      </c>
      <c r="E18" s="798"/>
      <c r="F18" s="798"/>
      <c r="G18" s="804"/>
      <c r="H18" s="805"/>
      <c r="I18" s="805"/>
      <c r="J18" s="805"/>
      <c r="K18" s="805"/>
      <c r="L18" s="168"/>
    </row>
    <row r="19" spans="2:12" ht="15" customHeight="1" x14ac:dyDescent="0.2">
      <c r="B19" s="791"/>
      <c r="C19" s="792"/>
      <c r="D19" s="797" t="s">
        <v>892</v>
      </c>
      <c r="E19" s="798"/>
      <c r="F19" s="798"/>
      <c r="G19" s="804"/>
      <c r="H19" s="805"/>
      <c r="I19" s="805"/>
      <c r="J19" s="805"/>
      <c r="K19" s="805"/>
      <c r="L19" s="168"/>
    </row>
    <row r="20" spans="2:12" ht="21" customHeight="1" x14ac:dyDescent="0.2">
      <c r="B20" s="791"/>
      <c r="C20" s="792"/>
      <c r="D20" s="797" t="s">
        <v>137</v>
      </c>
      <c r="E20" s="798"/>
      <c r="F20" s="798"/>
      <c r="G20" s="804"/>
      <c r="H20" s="805"/>
      <c r="I20" s="805"/>
      <c r="J20" s="805"/>
      <c r="K20" s="805"/>
      <c r="L20" s="168"/>
    </row>
    <row r="21" spans="2:12" ht="21" customHeight="1" x14ac:dyDescent="0.2">
      <c r="B21" s="791"/>
      <c r="C21" s="792"/>
      <c r="D21" s="797" t="s">
        <v>138</v>
      </c>
      <c r="E21" s="798"/>
      <c r="F21" s="798"/>
      <c r="G21" s="804"/>
      <c r="H21" s="805"/>
      <c r="I21" s="805"/>
      <c r="J21" s="805"/>
      <c r="K21" s="805"/>
      <c r="L21" s="168"/>
    </row>
    <row r="22" spans="2:12" x14ac:dyDescent="0.2">
      <c r="B22" s="791"/>
      <c r="C22" s="792"/>
      <c r="D22" s="797" t="s">
        <v>139</v>
      </c>
      <c r="E22" s="798"/>
      <c r="F22" s="798"/>
      <c r="G22" s="804"/>
      <c r="H22" s="805"/>
      <c r="I22" s="805"/>
      <c r="J22" s="805"/>
      <c r="K22" s="805"/>
      <c r="L22" s="168"/>
    </row>
    <row r="23" spans="2:12" ht="21" customHeight="1" x14ac:dyDescent="0.2">
      <c r="B23" s="791"/>
      <c r="C23" s="792"/>
      <c r="D23" s="797" t="s">
        <v>140</v>
      </c>
      <c r="E23" s="798"/>
      <c r="F23" s="798"/>
      <c r="G23" s="804"/>
      <c r="H23" s="805"/>
      <c r="I23" s="805"/>
      <c r="J23" s="805"/>
      <c r="K23" s="805"/>
      <c r="L23" s="168"/>
    </row>
    <row r="24" spans="2:12" x14ac:dyDescent="0.2">
      <c r="B24" s="791"/>
      <c r="C24" s="792"/>
      <c r="D24" s="797" t="s">
        <v>860</v>
      </c>
      <c r="E24" s="798"/>
      <c r="F24" s="798"/>
      <c r="G24" s="804"/>
      <c r="H24" s="805"/>
      <c r="I24" s="805"/>
      <c r="J24" s="805"/>
      <c r="K24" s="805"/>
      <c r="L24" s="168"/>
    </row>
    <row r="25" spans="2:12" ht="21" customHeight="1" x14ac:dyDescent="0.2">
      <c r="B25" s="791"/>
      <c r="C25" s="792"/>
      <c r="D25" s="797" t="s">
        <v>141</v>
      </c>
      <c r="E25" s="798"/>
      <c r="F25" s="798"/>
      <c r="G25" s="804"/>
      <c r="H25" s="805"/>
      <c r="I25" s="805"/>
      <c r="J25" s="805"/>
      <c r="K25" s="805"/>
      <c r="L25" s="168"/>
    </row>
    <row r="26" spans="2:12" ht="21" customHeight="1" thickBot="1" x14ac:dyDescent="0.25">
      <c r="B26" s="795"/>
      <c r="C26" s="796"/>
      <c r="D26" s="799" t="s">
        <v>142</v>
      </c>
      <c r="E26" s="800"/>
      <c r="F26" s="801"/>
      <c r="G26" s="806"/>
      <c r="H26" s="807"/>
      <c r="I26" s="807"/>
      <c r="J26" s="807"/>
      <c r="K26" s="807"/>
      <c r="L26" s="168"/>
    </row>
    <row r="27" spans="2:12" ht="15" customHeight="1" x14ac:dyDescent="0.2">
      <c r="B27" s="789" t="s">
        <v>143</v>
      </c>
      <c r="C27" s="790"/>
      <c r="D27" s="797" t="s">
        <v>144</v>
      </c>
      <c r="E27" s="798"/>
      <c r="F27" s="798"/>
      <c r="G27" s="808" t="s">
        <v>1464</v>
      </c>
      <c r="H27" s="809"/>
      <c r="I27" s="809"/>
      <c r="J27" s="809"/>
      <c r="K27" s="809"/>
      <c r="L27" s="593"/>
    </row>
    <row r="28" spans="2:12" x14ac:dyDescent="0.2">
      <c r="B28" s="791"/>
      <c r="C28" s="792"/>
      <c r="D28" s="797" t="s">
        <v>145</v>
      </c>
      <c r="E28" s="798"/>
      <c r="F28" s="798"/>
      <c r="G28" s="804"/>
      <c r="H28" s="805"/>
      <c r="I28" s="805"/>
      <c r="J28" s="805"/>
      <c r="K28" s="805"/>
      <c r="L28" s="593"/>
    </row>
    <row r="29" spans="2:12" ht="15" customHeight="1" x14ac:dyDescent="0.2">
      <c r="B29" s="791"/>
      <c r="C29" s="792"/>
      <c r="D29" s="797" t="s">
        <v>146</v>
      </c>
      <c r="E29" s="798"/>
      <c r="F29" s="798"/>
      <c r="G29" s="804"/>
      <c r="H29" s="805"/>
      <c r="I29" s="805"/>
      <c r="J29" s="805"/>
      <c r="K29" s="805"/>
      <c r="L29" s="593"/>
    </row>
    <row r="30" spans="2:12" x14ac:dyDescent="0.2">
      <c r="B30" s="791"/>
      <c r="C30" s="792"/>
      <c r="D30" s="797" t="s">
        <v>147</v>
      </c>
      <c r="E30" s="798"/>
      <c r="F30" s="798"/>
      <c r="G30" s="804"/>
      <c r="H30" s="805"/>
      <c r="I30" s="805"/>
      <c r="J30" s="805"/>
      <c r="K30" s="805"/>
      <c r="L30" s="593"/>
    </row>
    <row r="31" spans="2:12" x14ac:dyDescent="0.2">
      <c r="B31" s="791"/>
      <c r="C31" s="792"/>
      <c r="D31" s="797" t="s">
        <v>148</v>
      </c>
      <c r="E31" s="798"/>
      <c r="F31" s="798"/>
      <c r="G31" s="804"/>
      <c r="H31" s="805"/>
      <c r="I31" s="805"/>
      <c r="J31" s="805"/>
      <c r="K31" s="805"/>
      <c r="L31" s="593"/>
    </row>
    <row r="32" spans="2:12" x14ac:dyDescent="0.2">
      <c r="B32" s="791"/>
      <c r="C32" s="792"/>
      <c r="D32" s="797" t="s">
        <v>149</v>
      </c>
      <c r="E32" s="798"/>
      <c r="F32" s="798"/>
      <c r="G32" s="804"/>
      <c r="H32" s="805"/>
      <c r="I32" s="805"/>
      <c r="J32" s="805"/>
      <c r="K32" s="805"/>
      <c r="L32" s="593"/>
    </row>
    <row r="33" spans="2:12" ht="26.25" customHeight="1" thickBot="1" x14ac:dyDescent="0.25">
      <c r="B33" s="795"/>
      <c r="C33" s="796"/>
      <c r="D33" s="799" t="s">
        <v>861</v>
      </c>
      <c r="E33" s="800"/>
      <c r="F33" s="801"/>
      <c r="G33" s="806"/>
      <c r="H33" s="807"/>
      <c r="I33" s="807"/>
      <c r="J33" s="807"/>
      <c r="K33" s="807"/>
      <c r="L33" s="593"/>
    </row>
    <row r="34" spans="2:12" ht="16.5" customHeight="1" x14ac:dyDescent="0.2">
      <c r="B34" s="789" t="s">
        <v>862</v>
      </c>
      <c r="C34" s="790"/>
      <c r="D34" s="797" t="s">
        <v>863</v>
      </c>
      <c r="E34" s="798"/>
      <c r="F34" s="798"/>
      <c r="G34" s="808" t="s">
        <v>910</v>
      </c>
      <c r="H34" s="809"/>
      <c r="I34" s="809"/>
      <c r="J34" s="809"/>
      <c r="K34" s="809"/>
    </row>
    <row r="35" spans="2:12" x14ac:dyDescent="0.2">
      <c r="B35" s="791"/>
      <c r="C35" s="792"/>
      <c r="D35" s="797" t="s">
        <v>864</v>
      </c>
      <c r="E35" s="798"/>
      <c r="F35" s="798"/>
      <c r="G35" s="804"/>
      <c r="H35" s="805"/>
      <c r="I35" s="805"/>
      <c r="J35" s="805"/>
      <c r="K35" s="805"/>
    </row>
    <row r="36" spans="2:12" ht="18.75" customHeight="1" thickBot="1" x14ac:dyDescent="0.25">
      <c r="B36" s="795"/>
      <c r="C36" s="796"/>
      <c r="D36" s="799" t="s">
        <v>865</v>
      </c>
      <c r="E36" s="800"/>
      <c r="F36" s="801"/>
      <c r="G36" s="806"/>
      <c r="H36" s="807"/>
      <c r="I36" s="807"/>
      <c r="J36" s="807"/>
      <c r="K36" s="807"/>
    </row>
    <row r="37" spans="2:12" ht="15" customHeight="1" x14ac:dyDescent="0.2">
      <c r="B37" s="789" t="s">
        <v>150</v>
      </c>
      <c r="C37" s="790"/>
      <c r="D37" s="797" t="s">
        <v>151</v>
      </c>
      <c r="E37" s="798"/>
      <c r="F37" s="798"/>
      <c r="G37" s="808" t="s">
        <v>1468</v>
      </c>
      <c r="H37" s="809"/>
      <c r="I37" s="809"/>
      <c r="J37" s="809"/>
      <c r="K37" s="809"/>
    </row>
    <row r="38" spans="2:12" ht="22.5" customHeight="1" x14ac:dyDescent="0.2">
      <c r="B38" s="791"/>
      <c r="C38" s="792"/>
      <c r="D38" s="797" t="s">
        <v>152</v>
      </c>
      <c r="E38" s="798"/>
      <c r="F38" s="798"/>
      <c r="G38" s="804"/>
      <c r="H38" s="805"/>
      <c r="I38" s="805"/>
      <c r="J38" s="805"/>
      <c r="K38" s="805"/>
    </row>
    <row r="39" spans="2:12" x14ac:dyDescent="0.2">
      <c r="B39" s="791"/>
      <c r="C39" s="792"/>
      <c r="D39" s="797" t="s">
        <v>866</v>
      </c>
      <c r="E39" s="798"/>
      <c r="F39" s="798"/>
      <c r="G39" s="804"/>
      <c r="H39" s="805"/>
      <c r="I39" s="805"/>
      <c r="J39" s="805"/>
      <c r="K39" s="805"/>
    </row>
    <row r="40" spans="2:12" x14ac:dyDescent="0.2">
      <c r="B40" s="791"/>
      <c r="C40" s="792"/>
      <c r="D40" s="797" t="s">
        <v>867</v>
      </c>
      <c r="E40" s="798"/>
      <c r="F40" s="798"/>
      <c r="G40" s="804"/>
      <c r="H40" s="805"/>
      <c r="I40" s="805"/>
      <c r="J40" s="805"/>
      <c r="K40" s="805"/>
    </row>
    <row r="41" spans="2:12" x14ac:dyDescent="0.2">
      <c r="B41" s="791"/>
      <c r="C41" s="792"/>
      <c r="D41" s="797" t="s">
        <v>868</v>
      </c>
      <c r="E41" s="798"/>
      <c r="F41" s="798"/>
      <c r="G41" s="804"/>
      <c r="H41" s="805"/>
      <c r="I41" s="805"/>
      <c r="J41" s="805"/>
      <c r="K41" s="805"/>
    </row>
    <row r="42" spans="2:12" x14ac:dyDescent="0.2">
      <c r="B42" s="791"/>
      <c r="C42" s="792"/>
      <c r="D42" s="797" t="s">
        <v>869</v>
      </c>
      <c r="E42" s="798"/>
      <c r="F42" s="798"/>
      <c r="G42" s="804"/>
      <c r="H42" s="805"/>
      <c r="I42" s="805"/>
      <c r="J42" s="805"/>
      <c r="K42" s="805"/>
    </row>
    <row r="43" spans="2:12" x14ac:dyDescent="0.2">
      <c r="B43" s="791"/>
      <c r="C43" s="792"/>
      <c r="D43" s="797" t="s">
        <v>870</v>
      </c>
      <c r="E43" s="798"/>
      <c r="F43" s="798"/>
      <c r="G43" s="804"/>
      <c r="H43" s="805"/>
      <c r="I43" s="805"/>
      <c r="J43" s="805"/>
      <c r="K43" s="805"/>
    </row>
    <row r="44" spans="2:12" x14ac:dyDescent="0.2">
      <c r="B44" s="791"/>
      <c r="C44" s="792"/>
      <c r="D44" s="797" t="s">
        <v>871</v>
      </c>
      <c r="E44" s="798"/>
      <c r="F44" s="798"/>
      <c r="G44" s="804"/>
      <c r="H44" s="805"/>
      <c r="I44" s="805"/>
      <c r="J44" s="805"/>
      <c r="K44" s="805"/>
    </row>
    <row r="45" spans="2:12" x14ac:dyDescent="0.2">
      <c r="B45" s="791"/>
      <c r="C45" s="792"/>
      <c r="D45" s="797" t="s">
        <v>872</v>
      </c>
      <c r="E45" s="798"/>
      <c r="F45" s="798"/>
      <c r="G45" s="804"/>
      <c r="H45" s="805"/>
      <c r="I45" s="805"/>
      <c r="J45" s="805"/>
      <c r="K45" s="805"/>
    </row>
    <row r="46" spans="2:12" x14ac:dyDescent="0.2">
      <c r="B46" s="791"/>
      <c r="C46" s="792"/>
      <c r="D46" s="797" t="s">
        <v>873</v>
      </c>
      <c r="E46" s="798"/>
      <c r="F46" s="798"/>
      <c r="G46" s="804"/>
      <c r="H46" s="805"/>
      <c r="I46" s="805"/>
      <c r="J46" s="805"/>
      <c r="K46" s="805"/>
    </row>
    <row r="47" spans="2:12" x14ac:dyDescent="0.2">
      <c r="B47" s="791"/>
      <c r="C47" s="792"/>
      <c r="D47" s="797" t="s">
        <v>874</v>
      </c>
      <c r="E47" s="798"/>
      <c r="F47" s="798"/>
      <c r="G47" s="804"/>
      <c r="H47" s="805"/>
      <c r="I47" s="805"/>
      <c r="J47" s="805"/>
      <c r="K47" s="805"/>
    </row>
    <row r="48" spans="2:12" x14ac:dyDescent="0.2">
      <c r="B48" s="791"/>
      <c r="C48" s="792"/>
      <c r="D48" s="797" t="s">
        <v>153</v>
      </c>
      <c r="E48" s="798"/>
      <c r="F48" s="798"/>
      <c r="G48" s="804"/>
      <c r="H48" s="805"/>
      <c r="I48" s="805"/>
      <c r="J48" s="805"/>
      <c r="K48" s="805"/>
    </row>
    <row r="49" spans="2:11" x14ac:dyDescent="0.2">
      <c r="B49" s="791"/>
      <c r="C49" s="792"/>
      <c r="D49" s="797" t="s">
        <v>154</v>
      </c>
      <c r="E49" s="798"/>
      <c r="F49" s="798"/>
      <c r="G49" s="804"/>
      <c r="H49" s="805"/>
      <c r="I49" s="805"/>
      <c r="J49" s="805"/>
      <c r="K49" s="805"/>
    </row>
    <row r="50" spans="2:11" ht="16" thickBot="1" x14ac:dyDescent="0.25">
      <c r="B50" s="795"/>
      <c r="C50" s="796"/>
      <c r="D50" s="799" t="s">
        <v>155</v>
      </c>
      <c r="E50" s="800"/>
      <c r="F50" s="801"/>
      <c r="G50" s="806"/>
      <c r="H50" s="807"/>
      <c r="I50" s="807"/>
      <c r="J50" s="807"/>
      <c r="K50" s="807"/>
    </row>
    <row r="51" spans="2:11" ht="18.75" customHeight="1" x14ac:dyDescent="0.2">
      <c r="B51" s="789" t="s">
        <v>156</v>
      </c>
      <c r="C51" s="790"/>
      <c r="D51" s="797" t="s">
        <v>875</v>
      </c>
      <c r="E51" s="798"/>
      <c r="F51" s="798"/>
      <c r="G51" s="808" t="s">
        <v>894</v>
      </c>
      <c r="H51" s="809"/>
      <c r="I51" s="809"/>
      <c r="J51" s="809"/>
      <c r="K51" s="809"/>
    </row>
    <row r="52" spans="2:11" ht="18.75" customHeight="1" x14ac:dyDescent="0.2">
      <c r="B52" s="791"/>
      <c r="C52" s="792"/>
      <c r="D52" s="797" t="s">
        <v>876</v>
      </c>
      <c r="E52" s="798"/>
      <c r="F52" s="798"/>
      <c r="G52" s="804"/>
      <c r="H52" s="805"/>
      <c r="I52" s="805"/>
      <c r="J52" s="805"/>
      <c r="K52" s="805"/>
    </row>
    <row r="53" spans="2:11" ht="17.25" customHeight="1" thickBot="1" x14ac:dyDescent="0.25">
      <c r="B53" s="795"/>
      <c r="C53" s="796"/>
      <c r="D53" s="799" t="s">
        <v>877</v>
      </c>
      <c r="E53" s="800"/>
      <c r="F53" s="801"/>
      <c r="G53" s="806"/>
      <c r="H53" s="807"/>
      <c r="I53" s="807"/>
      <c r="J53" s="807"/>
      <c r="K53" s="807"/>
    </row>
    <row r="54" spans="2:11" ht="15" customHeight="1" x14ac:dyDescent="0.2">
      <c r="B54" s="789" t="s">
        <v>157</v>
      </c>
      <c r="C54" s="790"/>
      <c r="D54" s="797" t="s">
        <v>139</v>
      </c>
      <c r="E54" s="798"/>
      <c r="F54" s="798"/>
      <c r="G54" s="810" t="s">
        <v>1460</v>
      </c>
      <c r="H54" s="811"/>
      <c r="I54" s="811"/>
      <c r="J54" s="811"/>
      <c r="K54" s="811"/>
    </row>
    <row r="55" spans="2:11" x14ac:dyDescent="0.2">
      <c r="B55" s="791"/>
      <c r="C55" s="792"/>
      <c r="D55" s="797" t="s">
        <v>878</v>
      </c>
      <c r="E55" s="798"/>
      <c r="F55" s="798"/>
      <c r="G55" s="812"/>
      <c r="H55" s="813"/>
      <c r="I55" s="813"/>
      <c r="J55" s="813"/>
      <c r="K55" s="813"/>
    </row>
    <row r="56" spans="2:11" x14ac:dyDescent="0.2">
      <c r="B56" s="791"/>
      <c r="C56" s="792"/>
      <c r="D56" s="797" t="s">
        <v>879</v>
      </c>
      <c r="E56" s="798"/>
      <c r="F56" s="798"/>
      <c r="G56" s="812"/>
      <c r="H56" s="813"/>
      <c r="I56" s="813"/>
      <c r="J56" s="813"/>
      <c r="K56" s="813"/>
    </row>
    <row r="57" spans="2:11" x14ac:dyDescent="0.2">
      <c r="B57" s="791"/>
      <c r="C57" s="792"/>
      <c r="D57" s="797" t="s">
        <v>880</v>
      </c>
      <c r="E57" s="798"/>
      <c r="F57" s="798"/>
      <c r="G57" s="812"/>
      <c r="H57" s="813"/>
      <c r="I57" s="813"/>
      <c r="J57" s="813"/>
      <c r="K57" s="813"/>
    </row>
    <row r="58" spans="2:11" ht="26.25" customHeight="1" thickBot="1" x14ac:dyDescent="0.25">
      <c r="B58" s="795"/>
      <c r="C58" s="796"/>
      <c r="D58" s="799" t="s">
        <v>881</v>
      </c>
      <c r="E58" s="800"/>
      <c r="F58" s="801"/>
      <c r="G58" s="814"/>
      <c r="H58" s="815"/>
      <c r="I58" s="815"/>
      <c r="J58" s="815"/>
      <c r="K58" s="815"/>
    </row>
    <row r="59" spans="2:11" x14ac:dyDescent="0.2">
      <c r="B59" s="789" t="s">
        <v>158</v>
      </c>
      <c r="C59" s="790"/>
      <c r="D59" s="797" t="s">
        <v>882</v>
      </c>
      <c r="E59" s="798"/>
      <c r="F59" s="798"/>
      <c r="G59" s="808" t="s">
        <v>1461</v>
      </c>
      <c r="H59" s="809"/>
      <c r="I59" s="809"/>
      <c r="J59" s="809"/>
      <c r="K59" s="809"/>
    </row>
    <row r="60" spans="2:11" ht="22.5" customHeight="1" x14ac:dyDescent="0.2">
      <c r="B60" s="791"/>
      <c r="C60" s="792"/>
      <c r="D60" s="797" t="s">
        <v>883</v>
      </c>
      <c r="E60" s="798"/>
      <c r="F60" s="798"/>
      <c r="G60" s="804"/>
      <c r="H60" s="805"/>
      <c r="I60" s="805"/>
      <c r="J60" s="805"/>
      <c r="K60" s="805"/>
    </row>
    <row r="61" spans="2:11" x14ac:dyDescent="0.2">
      <c r="B61" s="791"/>
      <c r="C61" s="792"/>
      <c r="D61" s="797" t="s">
        <v>884</v>
      </c>
      <c r="E61" s="798"/>
      <c r="F61" s="798"/>
      <c r="G61" s="804"/>
      <c r="H61" s="805"/>
      <c r="I61" s="805"/>
      <c r="J61" s="805"/>
      <c r="K61" s="805"/>
    </row>
    <row r="62" spans="2:11" x14ac:dyDescent="0.2">
      <c r="B62" s="791"/>
      <c r="C62" s="792"/>
      <c r="D62" s="797" t="s">
        <v>139</v>
      </c>
      <c r="E62" s="798"/>
      <c r="F62" s="798"/>
      <c r="G62" s="804"/>
      <c r="H62" s="805"/>
      <c r="I62" s="805"/>
      <c r="J62" s="805"/>
      <c r="K62" s="805"/>
    </row>
    <row r="63" spans="2:11" x14ac:dyDescent="0.2">
      <c r="B63" s="791"/>
      <c r="C63" s="792"/>
      <c r="D63" s="797" t="s">
        <v>885</v>
      </c>
      <c r="E63" s="798"/>
      <c r="F63" s="798"/>
      <c r="G63" s="804"/>
      <c r="H63" s="805"/>
      <c r="I63" s="805"/>
      <c r="J63" s="805"/>
      <c r="K63" s="805"/>
    </row>
    <row r="64" spans="2:11" ht="16" thickBot="1" x14ac:dyDescent="0.25">
      <c r="B64" s="795"/>
      <c r="C64" s="796"/>
      <c r="D64" s="799" t="s">
        <v>886</v>
      </c>
      <c r="E64" s="800"/>
      <c r="F64" s="801"/>
      <c r="G64" s="806"/>
      <c r="H64" s="807"/>
      <c r="I64" s="807"/>
      <c r="J64" s="807"/>
      <c r="K64" s="807"/>
    </row>
    <row r="65" spans="2:12" ht="42.75" customHeight="1" x14ac:dyDescent="0.2">
      <c r="B65" s="789" t="s">
        <v>159</v>
      </c>
      <c r="C65" s="790"/>
      <c r="D65" s="797" t="s">
        <v>887</v>
      </c>
      <c r="E65" s="798"/>
      <c r="F65" s="798"/>
      <c r="G65" s="808" t="s">
        <v>1462</v>
      </c>
      <c r="H65" s="809"/>
      <c r="I65" s="809"/>
      <c r="J65" s="809"/>
      <c r="K65" s="809"/>
    </row>
    <row r="66" spans="2:12" ht="42" customHeight="1" thickBot="1" x14ac:dyDescent="0.25">
      <c r="B66" s="795"/>
      <c r="C66" s="796"/>
      <c r="D66" s="799" t="s">
        <v>888</v>
      </c>
      <c r="E66" s="800"/>
      <c r="F66" s="801"/>
      <c r="G66" s="806"/>
      <c r="H66" s="807"/>
      <c r="I66" s="807"/>
      <c r="J66" s="807"/>
      <c r="K66" s="807"/>
    </row>
    <row r="67" spans="2:12" ht="15.75" customHeight="1" x14ac:dyDescent="0.2">
      <c r="B67" s="789" t="s">
        <v>160</v>
      </c>
      <c r="C67" s="790"/>
      <c r="D67" s="797" t="s">
        <v>889</v>
      </c>
      <c r="E67" s="798"/>
      <c r="F67" s="798"/>
      <c r="G67" s="808" t="s">
        <v>1469</v>
      </c>
      <c r="H67" s="809"/>
      <c r="I67" s="809"/>
      <c r="J67" s="809"/>
      <c r="K67" s="809"/>
      <c r="L67" s="415"/>
    </row>
    <row r="68" spans="2:12" ht="15.75" customHeight="1" x14ac:dyDescent="0.2">
      <c r="B68" s="791"/>
      <c r="C68" s="792"/>
      <c r="D68" s="797" t="s">
        <v>890</v>
      </c>
      <c r="E68" s="798"/>
      <c r="F68" s="798"/>
      <c r="G68" s="804"/>
      <c r="H68" s="805"/>
      <c r="I68" s="805"/>
      <c r="J68" s="805"/>
      <c r="K68" s="805"/>
    </row>
    <row r="69" spans="2:12" x14ac:dyDescent="0.2">
      <c r="B69" s="791"/>
      <c r="C69" s="792"/>
      <c r="D69" s="797" t="s">
        <v>161</v>
      </c>
      <c r="E69" s="798"/>
      <c r="F69" s="798"/>
      <c r="G69" s="804"/>
      <c r="H69" s="805"/>
      <c r="I69" s="805"/>
      <c r="J69" s="805"/>
      <c r="K69" s="805"/>
    </row>
    <row r="70" spans="2:12" x14ac:dyDescent="0.2">
      <c r="B70" s="791"/>
      <c r="C70" s="792"/>
      <c r="D70" s="797" t="s">
        <v>162</v>
      </c>
      <c r="E70" s="798"/>
      <c r="F70" s="798"/>
      <c r="G70" s="804"/>
      <c r="H70" s="805"/>
      <c r="I70" s="805"/>
      <c r="J70" s="805"/>
      <c r="K70" s="805"/>
    </row>
    <row r="71" spans="2:12" ht="23.25" customHeight="1" x14ac:dyDescent="0.2">
      <c r="B71" s="791"/>
      <c r="C71" s="792"/>
      <c r="D71" s="797" t="s">
        <v>163</v>
      </c>
      <c r="E71" s="798"/>
      <c r="F71" s="798"/>
      <c r="G71" s="804"/>
      <c r="H71" s="805"/>
      <c r="I71" s="805"/>
      <c r="J71" s="805"/>
      <c r="K71" s="805"/>
    </row>
    <row r="72" spans="2:12" x14ac:dyDescent="0.2">
      <c r="B72" s="791"/>
      <c r="C72" s="792"/>
      <c r="D72" s="797" t="s">
        <v>891</v>
      </c>
      <c r="E72" s="798"/>
      <c r="F72" s="798"/>
      <c r="G72" s="804"/>
      <c r="H72" s="805"/>
      <c r="I72" s="805"/>
      <c r="J72" s="805"/>
      <c r="K72" s="805"/>
    </row>
    <row r="73" spans="2:12" x14ac:dyDescent="0.2">
      <c r="B73" s="791"/>
      <c r="C73" s="792"/>
      <c r="D73" s="797" t="s">
        <v>893</v>
      </c>
      <c r="E73" s="798"/>
      <c r="F73" s="798"/>
      <c r="G73" s="804"/>
      <c r="H73" s="805"/>
      <c r="I73" s="805"/>
      <c r="J73" s="805"/>
      <c r="K73" s="805"/>
    </row>
    <row r="74" spans="2:12" x14ac:dyDescent="0.2">
      <c r="B74" s="791"/>
      <c r="C74" s="792"/>
      <c r="D74" s="797" t="s">
        <v>164</v>
      </c>
      <c r="E74" s="798"/>
      <c r="F74" s="798"/>
      <c r="G74" s="804"/>
      <c r="H74" s="805"/>
      <c r="I74" s="805"/>
      <c r="J74" s="805"/>
      <c r="K74" s="805"/>
    </row>
    <row r="75" spans="2:12" ht="16" thickBot="1" x14ac:dyDescent="0.25">
      <c r="B75" s="793"/>
      <c r="C75" s="794"/>
      <c r="D75" s="818" t="s">
        <v>165</v>
      </c>
      <c r="E75" s="819"/>
      <c r="F75" s="820"/>
      <c r="G75" s="816"/>
      <c r="H75" s="817"/>
      <c r="I75" s="817"/>
      <c r="J75" s="817"/>
      <c r="K75" s="817"/>
    </row>
    <row r="76" spans="2:12" x14ac:dyDescent="0.2">
      <c r="B76" s="45"/>
      <c r="C76" s="33"/>
      <c r="D76" s="33"/>
    </row>
    <row r="77" spans="2:12" x14ac:dyDescent="0.2">
      <c r="B77" s="45"/>
      <c r="C77" s="33"/>
      <c r="D77" s="33"/>
    </row>
    <row r="557" spans="2:7" x14ac:dyDescent="0.2">
      <c r="B557" s="821"/>
      <c r="C557" s="821"/>
      <c r="D557" s="821"/>
      <c r="E557" s="821"/>
      <c r="F557" s="821"/>
      <c r="G557" s="821"/>
    </row>
    <row r="558" spans="2:7" x14ac:dyDescent="0.2">
      <c r="B558" s="258"/>
      <c r="C558" s="258"/>
      <c r="D558" s="258"/>
      <c r="E558" s="259"/>
      <c r="F558" s="259"/>
      <c r="G558" s="259"/>
    </row>
    <row r="565" spans="2:4" ht="28.5" customHeight="1" x14ac:dyDescent="0.2"/>
    <row r="568" spans="2:4" ht="16" thickBot="1" x14ac:dyDescent="0.25">
      <c r="B568" s="256"/>
      <c r="C568" s="256"/>
      <c r="D568" s="256"/>
    </row>
    <row r="569" spans="2:4" ht="16" thickBot="1" x14ac:dyDescent="0.25">
      <c r="B569" s="256"/>
      <c r="C569" s="256"/>
      <c r="D569" s="256"/>
    </row>
    <row r="570" spans="2:4" ht="16" thickBot="1" x14ac:dyDescent="0.25">
      <c r="B570" s="256"/>
      <c r="C570" s="256"/>
      <c r="D570" s="256"/>
    </row>
    <row r="571" spans="2:4" ht="16" thickBot="1" x14ac:dyDescent="0.25">
      <c r="B571" s="256"/>
      <c r="C571" s="256"/>
      <c r="D571" s="256"/>
    </row>
    <row r="572" spans="2:4" ht="16" thickBot="1" x14ac:dyDescent="0.25">
      <c r="B572" s="256"/>
      <c r="C572" s="256"/>
      <c r="D572" s="256"/>
    </row>
    <row r="573" spans="2:4" ht="16" thickBot="1" x14ac:dyDescent="0.25">
      <c r="B573" s="256"/>
      <c r="C573" s="256"/>
      <c r="D573" s="256"/>
    </row>
    <row r="574" spans="2:4" ht="16" thickBot="1" x14ac:dyDescent="0.25">
      <c r="B574" s="256"/>
      <c r="C574" s="256"/>
      <c r="D574" s="256"/>
    </row>
    <row r="575" spans="2:4" ht="16" thickBot="1" x14ac:dyDescent="0.25">
      <c r="B575" s="256"/>
      <c r="C575" s="256"/>
      <c r="D575" s="256"/>
    </row>
    <row r="576" spans="2:4" ht="27" customHeight="1" thickBot="1" x14ac:dyDescent="0.25">
      <c r="B576" s="256"/>
      <c r="C576" s="256"/>
      <c r="D576" s="256"/>
    </row>
    <row r="577" spans="2:4" ht="16" thickBot="1" x14ac:dyDescent="0.25">
      <c r="B577" s="256"/>
      <c r="C577" s="256"/>
      <c r="D577" s="256"/>
    </row>
    <row r="578" spans="2:4" ht="16" thickBot="1" x14ac:dyDescent="0.25">
      <c r="B578" s="256"/>
      <c r="C578" s="256"/>
      <c r="D578" s="256"/>
    </row>
    <row r="579" spans="2:4" ht="16" thickBot="1" x14ac:dyDescent="0.25">
      <c r="B579" s="256"/>
      <c r="C579" s="256"/>
      <c r="D579" s="256"/>
    </row>
    <row r="580" spans="2:4" ht="24" customHeight="1" thickBot="1" x14ac:dyDescent="0.25">
      <c r="B580" s="256"/>
      <c r="C580" s="256"/>
      <c r="D580" s="256"/>
    </row>
    <row r="581" spans="2:4" ht="16" thickBot="1" x14ac:dyDescent="0.25">
      <c r="B581" s="256"/>
      <c r="C581" s="256"/>
      <c r="D581" s="256"/>
    </row>
    <row r="582" spans="2:4" ht="25.5" customHeight="1" thickBot="1" x14ac:dyDescent="0.25">
      <c r="B582" s="256"/>
      <c r="C582" s="256"/>
      <c r="D582" s="256"/>
    </row>
    <row r="583" spans="2:4" ht="22.5" customHeight="1" thickBot="1" x14ac:dyDescent="0.25">
      <c r="B583" s="256"/>
      <c r="C583" s="256"/>
      <c r="D583" s="256"/>
    </row>
    <row r="584" spans="2:4" ht="16" thickBot="1" x14ac:dyDescent="0.25">
      <c r="B584" s="256"/>
      <c r="C584" s="256"/>
      <c r="D584" s="256"/>
    </row>
    <row r="585" spans="2:4" ht="22.5" customHeight="1" thickBot="1" x14ac:dyDescent="0.25">
      <c r="B585" s="256"/>
      <c r="C585" s="256"/>
      <c r="D585" s="256"/>
    </row>
    <row r="586" spans="2:4" ht="16" thickBot="1" x14ac:dyDescent="0.25">
      <c r="B586" s="256"/>
      <c r="C586" s="256"/>
      <c r="D586" s="256"/>
    </row>
    <row r="587" spans="2:4" ht="16" thickBot="1" x14ac:dyDescent="0.25">
      <c r="B587" s="256"/>
      <c r="C587" s="256"/>
      <c r="D587" s="256"/>
    </row>
    <row r="588" spans="2:4" ht="16" thickBot="1" x14ac:dyDescent="0.25">
      <c r="B588" s="256"/>
      <c r="C588" s="256"/>
      <c r="D588" s="256"/>
    </row>
    <row r="589" spans="2:4" ht="25.5" customHeight="1" thickBot="1" x14ac:dyDescent="0.25">
      <c r="B589" s="256"/>
      <c r="C589" s="256"/>
      <c r="D589" s="256"/>
    </row>
    <row r="590" spans="2:4" ht="24" customHeight="1" thickBot="1" x14ac:dyDescent="0.25">
      <c r="B590" s="256"/>
      <c r="C590" s="256"/>
      <c r="D590" s="256"/>
    </row>
    <row r="591" spans="2:4" ht="24.75" customHeight="1" thickBot="1" x14ac:dyDescent="0.25">
      <c r="B591" s="256"/>
      <c r="C591" s="256"/>
      <c r="D591" s="256"/>
    </row>
    <row r="592" spans="2:4" ht="23.25" customHeight="1" thickBot="1" x14ac:dyDescent="0.25">
      <c r="B592" s="256"/>
      <c r="C592" s="256"/>
      <c r="D592" s="256"/>
    </row>
    <row r="593" spans="2:7" ht="23.25" customHeight="1" thickBot="1" x14ac:dyDescent="0.25">
      <c r="B593" s="256"/>
      <c r="C593" s="256"/>
      <c r="D593" s="256"/>
    </row>
    <row r="594" spans="2:7" ht="16" thickBot="1" x14ac:dyDescent="0.25">
      <c r="B594" s="256"/>
      <c r="C594" s="256"/>
      <c r="D594" s="256"/>
    </row>
    <row r="595" spans="2:7" ht="16" thickBot="1" x14ac:dyDescent="0.25">
      <c r="B595" s="257"/>
      <c r="C595" s="257"/>
      <c r="D595" s="257"/>
      <c r="E595" s="257"/>
      <c r="F595" s="257"/>
      <c r="G595" s="257"/>
    </row>
    <row r="597" spans="2:7" x14ac:dyDescent="0.2">
      <c r="B597" s="821"/>
      <c r="C597" s="821"/>
      <c r="D597" s="821"/>
      <c r="E597" s="821"/>
      <c r="F597" s="821"/>
      <c r="G597" s="821"/>
    </row>
    <row r="598" spans="2:7" x14ac:dyDescent="0.2">
      <c r="B598" s="258"/>
      <c r="C598" s="258"/>
      <c r="D598" s="258"/>
      <c r="E598" s="259"/>
      <c r="F598" s="259"/>
      <c r="G598" s="259"/>
    </row>
    <row r="605" spans="2:7" ht="21" customHeight="1" x14ac:dyDescent="0.2"/>
    <row r="606" spans="2:7" ht="27.75" customHeight="1" x14ac:dyDescent="0.2"/>
    <row r="607" spans="2:7" ht="23.25" customHeight="1" x14ac:dyDescent="0.2"/>
    <row r="613" ht="22.5" customHeight="1" x14ac:dyDescent="0.2"/>
    <row r="615" ht="25.5" customHeight="1" x14ac:dyDescent="0.2"/>
    <row r="618" ht="24" customHeight="1" x14ac:dyDescent="0.2"/>
    <row r="622" ht="26.25" customHeight="1" x14ac:dyDescent="0.2"/>
    <row r="623" ht="22.5" customHeight="1" x14ac:dyDescent="0.2"/>
    <row r="625" ht="22.5" customHeight="1" x14ac:dyDescent="0.2"/>
    <row r="628" ht="26.25" customHeight="1" x14ac:dyDescent="0.2"/>
    <row r="629" ht="26.25" customHeight="1" x14ac:dyDescent="0.2"/>
    <row r="632" ht="24" customHeight="1" x14ac:dyDescent="0.2"/>
    <row r="634" ht="22.5" customHeight="1" x14ac:dyDescent="0.2"/>
    <row r="647" spans="2:7" ht="23.25" customHeight="1" x14ac:dyDescent="0.2"/>
    <row r="650" spans="2:7" ht="24" customHeight="1" x14ac:dyDescent="0.2"/>
    <row r="652" spans="2:7" ht="16" thickBot="1" x14ac:dyDescent="0.25">
      <c r="B652" s="257"/>
      <c r="C652" s="257"/>
      <c r="D652" s="257"/>
      <c r="E652" s="257"/>
      <c r="F652" s="257"/>
      <c r="G652" s="257"/>
    </row>
    <row r="653" spans="2:7" x14ac:dyDescent="0.2">
      <c r="B653" s="822"/>
      <c r="C653" s="822"/>
    </row>
    <row r="660" spans="2:13" x14ac:dyDescent="0.2">
      <c r="B660" s="823"/>
      <c r="C660" s="823"/>
      <c r="D660" s="259"/>
      <c r="E660" s="259"/>
      <c r="F660" s="259"/>
      <c r="G660" s="259"/>
      <c r="H660" s="259"/>
      <c r="I660" s="259"/>
      <c r="J660" s="259"/>
      <c r="K660" s="259"/>
      <c r="L660" s="259"/>
      <c r="M660" s="259"/>
    </row>
    <row r="661" spans="2:13" x14ac:dyDescent="0.2">
      <c r="B661" s="779"/>
      <c r="C661" s="779"/>
      <c r="D661" s="825"/>
      <c r="E661" s="825"/>
      <c r="M661" s="262"/>
    </row>
    <row r="662" spans="2:13" ht="27" customHeight="1" x14ac:dyDescent="0.2">
      <c r="B662" s="779"/>
      <c r="C662" s="779"/>
      <c r="D662" s="825"/>
      <c r="E662" s="825"/>
      <c r="F662" s="16"/>
      <c r="G662" s="16"/>
      <c r="H662" s="16"/>
      <c r="I662" s="16"/>
      <c r="J662" s="16"/>
      <c r="K662" s="16"/>
      <c r="L662" s="16"/>
      <c r="M662" s="263"/>
    </row>
    <row r="663" spans="2:13" ht="26.25" customHeight="1" x14ac:dyDescent="0.2">
      <c r="B663" s="779"/>
      <c r="C663" s="779"/>
      <c r="D663" s="825"/>
      <c r="E663" s="825"/>
      <c r="F663" s="16"/>
      <c r="G663" s="16"/>
      <c r="H663" s="16"/>
      <c r="I663" s="16"/>
      <c r="J663" s="16"/>
      <c r="K663" s="16"/>
      <c r="L663" s="16"/>
      <c r="M663" s="263"/>
    </row>
    <row r="664" spans="2:13" ht="19.5" customHeight="1" x14ac:dyDescent="0.2">
      <c r="B664" s="779"/>
      <c r="C664" s="779"/>
      <c r="D664" s="825"/>
      <c r="E664" s="825"/>
      <c r="F664" s="16"/>
      <c r="G664" s="16"/>
      <c r="H664" s="16"/>
      <c r="I664" s="16"/>
      <c r="J664" s="16"/>
      <c r="K664" s="16"/>
      <c r="L664" s="16"/>
      <c r="M664" s="263"/>
    </row>
    <row r="665" spans="2:13" ht="25.5" customHeight="1" x14ac:dyDescent="0.2">
      <c r="B665" s="779"/>
      <c r="C665" s="779"/>
      <c r="D665" s="825"/>
      <c r="E665" s="825"/>
      <c r="F665" s="16"/>
      <c r="G665" s="16"/>
      <c r="H665" s="16"/>
      <c r="I665" s="16"/>
      <c r="J665" s="16"/>
      <c r="K665" s="16"/>
      <c r="L665" s="16"/>
      <c r="M665" s="263"/>
    </row>
    <row r="666" spans="2:13" ht="18" customHeight="1" x14ac:dyDescent="0.2">
      <c r="B666" s="779"/>
      <c r="C666" s="779"/>
      <c r="D666" s="825"/>
      <c r="E666" s="825"/>
      <c r="F666" s="16"/>
      <c r="G666" s="16"/>
      <c r="H666" s="16"/>
      <c r="I666" s="16"/>
      <c r="J666" s="16"/>
      <c r="K666" s="16"/>
      <c r="L666" s="16"/>
      <c r="M666" s="263"/>
    </row>
    <row r="667" spans="2:13" ht="18.75" customHeight="1" x14ac:dyDescent="0.2">
      <c r="B667" s="779"/>
      <c r="C667" s="779"/>
      <c r="D667" s="825"/>
      <c r="E667" s="825"/>
      <c r="F667" s="16"/>
      <c r="G667" s="16"/>
      <c r="H667" s="16"/>
      <c r="I667" s="16"/>
      <c r="J667" s="16"/>
      <c r="K667" s="16"/>
      <c r="L667" s="16"/>
      <c r="M667" s="263"/>
    </row>
    <row r="668" spans="2:13" ht="27.75" customHeight="1" x14ac:dyDescent="0.2">
      <c r="B668" s="779"/>
      <c r="C668" s="779"/>
      <c r="D668" s="825"/>
      <c r="E668" s="825"/>
      <c r="F668" s="16"/>
      <c r="G668" s="16"/>
      <c r="H668" s="16"/>
      <c r="I668" s="16"/>
      <c r="J668" s="16"/>
      <c r="K668" s="16"/>
      <c r="L668" s="16"/>
      <c r="M668" s="263"/>
    </row>
    <row r="669" spans="2:13" ht="18.75" customHeight="1" x14ac:dyDescent="0.2">
      <c r="B669" s="779"/>
      <c r="C669" s="779"/>
      <c r="D669" s="825"/>
      <c r="E669" s="825"/>
      <c r="F669" s="16"/>
      <c r="G669" s="16"/>
      <c r="H669" s="16"/>
      <c r="I669" s="16"/>
      <c r="J669" s="16"/>
      <c r="K669" s="16"/>
      <c r="L669" s="16"/>
      <c r="M669" s="263"/>
    </row>
    <row r="670" spans="2:13" ht="30" customHeight="1" thickBot="1" x14ac:dyDescent="0.25">
      <c r="B670" s="779"/>
      <c r="C670" s="779"/>
      <c r="D670" s="824"/>
      <c r="E670" s="824"/>
      <c r="F670" s="257"/>
      <c r="G670" s="257"/>
      <c r="H670" s="257"/>
      <c r="I670" s="257"/>
      <c r="J670" s="257"/>
      <c r="K670" s="257"/>
      <c r="L670" s="257"/>
      <c r="M670" s="264"/>
    </row>
    <row r="672" spans="2:13" x14ac:dyDescent="0.2">
      <c r="B672" s="823"/>
      <c r="C672" s="823"/>
      <c r="D672" s="259"/>
      <c r="E672" s="259"/>
      <c r="F672" s="259"/>
      <c r="G672" s="259"/>
      <c r="H672" s="259"/>
      <c r="I672" s="259"/>
      <c r="J672" s="259"/>
      <c r="K672" s="259"/>
      <c r="L672" s="259"/>
      <c r="M672" s="259"/>
    </row>
    <row r="673" spans="2:13" ht="18.75" customHeight="1" x14ac:dyDescent="0.2">
      <c r="B673" s="779"/>
      <c r="C673" s="779"/>
      <c r="D673" s="825"/>
      <c r="E673" s="825"/>
      <c r="M673" s="262"/>
    </row>
    <row r="674" spans="2:13" ht="27.75" customHeight="1" x14ac:dyDescent="0.2">
      <c r="B674" s="779"/>
      <c r="C674" s="779"/>
      <c r="D674" s="825"/>
      <c r="E674" s="825"/>
      <c r="F674" s="16"/>
      <c r="G674" s="16"/>
      <c r="H674" s="16"/>
      <c r="I674" s="16"/>
      <c r="J674" s="16"/>
      <c r="K674" s="16"/>
      <c r="L674" s="16"/>
      <c r="M674" s="263"/>
    </row>
    <row r="675" spans="2:13" ht="29.25" customHeight="1" x14ac:dyDescent="0.2">
      <c r="B675" s="779"/>
      <c r="C675" s="779"/>
      <c r="D675" s="825"/>
      <c r="E675" s="825"/>
      <c r="F675" s="16"/>
      <c r="G675" s="16"/>
      <c r="H675" s="16"/>
      <c r="I675" s="16"/>
      <c r="J675" s="16"/>
      <c r="K675" s="16"/>
      <c r="L675" s="16"/>
      <c r="M675" s="263"/>
    </row>
    <row r="676" spans="2:13" ht="21" customHeight="1" x14ac:dyDescent="0.2">
      <c r="B676" s="779"/>
      <c r="C676" s="779"/>
      <c r="D676" s="825"/>
      <c r="E676" s="825"/>
      <c r="F676" s="16"/>
      <c r="G676" s="16"/>
      <c r="H676" s="16"/>
      <c r="I676" s="16"/>
      <c r="J676" s="16"/>
      <c r="K676" s="16"/>
      <c r="L676" s="16"/>
      <c r="M676" s="263"/>
    </row>
    <row r="677" spans="2:13" ht="26.25" customHeight="1" x14ac:dyDescent="0.2">
      <c r="B677" s="779"/>
      <c r="C677" s="779"/>
      <c r="D677" s="825"/>
      <c r="E677" s="825"/>
      <c r="F677" s="16"/>
      <c r="G677" s="16"/>
      <c r="H677" s="16"/>
      <c r="I677" s="16"/>
      <c r="J677" s="16"/>
      <c r="K677" s="16"/>
      <c r="L677" s="16"/>
      <c r="M677" s="263"/>
    </row>
    <row r="678" spans="2:13" ht="21" customHeight="1" x14ac:dyDescent="0.2">
      <c r="B678" s="779"/>
      <c r="C678" s="779"/>
      <c r="D678" s="825"/>
      <c r="E678" s="825"/>
      <c r="F678" s="16"/>
      <c r="G678" s="16"/>
      <c r="H678" s="16"/>
      <c r="I678" s="16"/>
      <c r="J678" s="16"/>
      <c r="K678" s="16"/>
      <c r="L678" s="16"/>
      <c r="M678" s="263"/>
    </row>
    <row r="679" spans="2:13" ht="21.75" customHeight="1" x14ac:dyDescent="0.2">
      <c r="B679" s="779"/>
      <c r="C679" s="779"/>
      <c r="D679" s="825"/>
      <c r="E679" s="825"/>
      <c r="F679" s="16"/>
      <c r="G679" s="16"/>
      <c r="H679" s="16"/>
      <c r="I679" s="16"/>
      <c r="J679" s="16"/>
      <c r="K679" s="16"/>
      <c r="L679" s="16"/>
      <c r="M679" s="263"/>
    </row>
    <row r="680" spans="2:13" ht="25.5" customHeight="1" x14ac:dyDescent="0.2">
      <c r="B680" s="779"/>
      <c r="C680" s="779"/>
      <c r="D680" s="825"/>
      <c r="E680" s="825"/>
      <c r="F680" s="16"/>
      <c r="G680" s="16"/>
      <c r="H680" s="16"/>
      <c r="I680" s="16"/>
      <c r="J680" s="16"/>
      <c r="K680" s="16"/>
      <c r="L680" s="16"/>
      <c r="M680" s="263"/>
    </row>
    <row r="681" spans="2:13" ht="20.25" customHeight="1" x14ac:dyDescent="0.2">
      <c r="B681" s="779"/>
      <c r="C681" s="779"/>
      <c r="D681" s="825"/>
      <c r="E681" s="825"/>
      <c r="F681" s="16"/>
      <c r="G681" s="16"/>
      <c r="H681" s="16"/>
      <c r="I681" s="16"/>
      <c r="J681" s="16"/>
      <c r="K681" s="16"/>
      <c r="L681" s="16"/>
      <c r="M681" s="263"/>
    </row>
    <row r="682" spans="2:13" ht="24" customHeight="1" thickBot="1" x14ac:dyDescent="0.25">
      <c r="B682" s="779"/>
      <c r="C682" s="779"/>
      <c r="D682" s="824"/>
      <c r="E682" s="824"/>
      <c r="F682" s="257"/>
      <c r="G682" s="257"/>
      <c r="H682" s="257"/>
      <c r="I682" s="257"/>
      <c r="J682" s="257"/>
      <c r="K682" s="257"/>
      <c r="L682" s="257"/>
      <c r="M682" s="264"/>
    </row>
    <row r="683" spans="2:13" x14ac:dyDescent="0.2">
      <c r="B683" s="821"/>
      <c r="C683" s="821"/>
    </row>
    <row r="699" spans="2:14" x14ac:dyDescent="0.2">
      <c r="B699" s="821"/>
      <c r="C699" s="821"/>
      <c r="D699" s="821"/>
      <c r="E699" s="821"/>
      <c r="F699" s="821"/>
      <c r="G699" s="821"/>
      <c r="H699" s="821"/>
      <c r="I699" s="821"/>
      <c r="J699" s="821"/>
      <c r="K699" s="821"/>
      <c r="L699" s="821"/>
      <c r="M699" s="821"/>
      <c r="N699" s="821"/>
    </row>
    <row r="700" spans="2:14" ht="24.75" customHeight="1" x14ac:dyDescent="0.2">
      <c r="C700" s="823"/>
      <c r="D700" s="823"/>
      <c r="E700" s="823"/>
      <c r="F700" s="823"/>
      <c r="G700" s="823"/>
      <c r="H700" s="826"/>
      <c r="I700" s="823"/>
      <c r="J700" s="823"/>
      <c r="K700" s="823"/>
      <c r="L700" s="823"/>
      <c r="M700" s="823"/>
      <c r="N700" s="823"/>
    </row>
    <row r="701" spans="2:14" ht="29.25" customHeight="1" x14ac:dyDescent="0.2">
      <c r="B701" s="259"/>
      <c r="C701" s="823"/>
      <c r="D701" s="823"/>
      <c r="E701" s="823"/>
      <c r="F701" s="823"/>
      <c r="G701" s="823"/>
      <c r="H701" s="826"/>
      <c r="I701" s="823"/>
      <c r="J701" s="823"/>
      <c r="K701" s="823"/>
      <c r="L701" s="823"/>
      <c r="M701" s="823"/>
      <c r="N701" s="823"/>
    </row>
    <row r="702" spans="2:14" ht="16" thickBot="1" x14ac:dyDescent="0.25">
      <c r="B702" s="266"/>
      <c r="C702" s="828"/>
      <c r="D702" s="828"/>
      <c r="E702" s="828"/>
      <c r="F702" s="828"/>
      <c r="G702" s="828"/>
      <c r="H702" s="828"/>
      <c r="I702" s="827"/>
      <c r="J702" s="827"/>
      <c r="K702" s="827"/>
      <c r="L702" s="827"/>
      <c r="M702" s="828"/>
      <c r="N702" s="828"/>
    </row>
    <row r="722" spans="2:13" x14ac:dyDescent="0.2">
      <c r="B722" s="821"/>
      <c r="C722" s="821"/>
      <c r="D722" s="821"/>
      <c r="E722" s="821"/>
      <c r="F722" s="821"/>
      <c r="G722" s="821"/>
      <c r="H722" s="821"/>
      <c r="I722" s="821"/>
      <c r="J722" s="821"/>
      <c r="K722" s="821"/>
      <c r="L722" s="821"/>
      <c r="M722" s="821"/>
    </row>
    <row r="723" spans="2:13" x14ac:dyDescent="0.2">
      <c r="C723" s="823"/>
      <c r="D723" s="823"/>
      <c r="E723" s="823"/>
      <c r="F723" s="823"/>
      <c r="G723" s="823"/>
      <c r="H723" s="826"/>
      <c r="I723" s="823"/>
      <c r="J723" s="823"/>
      <c r="K723" s="823"/>
      <c r="L723" s="823"/>
      <c r="M723" s="823"/>
    </row>
    <row r="724" spans="2:13" x14ac:dyDescent="0.2">
      <c r="B724" s="259"/>
      <c r="C724" s="823"/>
      <c r="D724" s="823"/>
      <c r="E724" s="823"/>
      <c r="F724" s="823"/>
      <c r="G724" s="823"/>
      <c r="H724" s="826"/>
      <c r="I724" s="823"/>
      <c r="J724" s="823"/>
      <c r="K724" s="823"/>
      <c r="L724" s="823"/>
      <c r="M724" s="258"/>
    </row>
    <row r="725" spans="2:13" ht="16" thickBot="1" x14ac:dyDescent="0.25">
      <c r="B725" s="266"/>
      <c r="C725" s="828"/>
      <c r="D725" s="828"/>
      <c r="E725" s="828"/>
      <c r="F725" s="828"/>
      <c r="G725" s="828"/>
      <c r="H725" s="828"/>
      <c r="I725" s="827"/>
      <c r="J725" s="827"/>
      <c r="K725" s="827"/>
      <c r="L725" s="827"/>
      <c r="M725" s="267"/>
    </row>
  </sheetData>
  <mergeCells count="139">
    <mergeCell ref="K701:L701"/>
    <mergeCell ref="K702:L702"/>
    <mergeCell ref="M701:N701"/>
    <mergeCell ref="M702:N702"/>
    <mergeCell ref="I700:N700"/>
    <mergeCell ref="B699:N699"/>
    <mergeCell ref="C725:D725"/>
    <mergeCell ref="E725:F725"/>
    <mergeCell ref="G725:H725"/>
    <mergeCell ref="I725:J725"/>
    <mergeCell ref="K725:L725"/>
    <mergeCell ref="B722:M722"/>
    <mergeCell ref="C723:H723"/>
    <mergeCell ref="I723:M723"/>
    <mergeCell ref="C724:D724"/>
    <mergeCell ref="E724:F724"/>
    <mergeCell ref="G724:H724"/>
    <mergeCell ref="I724:J724"/>
    <mergeCell ref="K724:L724"/>
    <mergeCell ref="B683:C683"/>
    <mergeCell ref="C700:H700"/>
    <mergeCell ref="I701:J701"/>
    <mergeCell ref="I702:J702"/>
    <mergeCell ref="C701:D701"/>
    <mergeCell ref="E701:F701"/>
    <mergeCell ref="G701:H701"/>
    <mergeCell ref="C702:D702"/>
    <mergeCell ref="E702:F702"/>
    <mergeCell ref="G702:H702"/>
    <mergeCell ref="B672:C672"/>
    <mergeCell ref="B673:C68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B557:G557"/>
    <mergeCell ref="B597:G597"/>
    <mergeCell ref="B653:C653"/>
    <mergeCell ref="B661:C670"/>
    <mergeCell ref="B660:C660"/>
    <mergeCell ref="D670:E670"/>
    <mergeCell ref="D669:E669"/>
    <mergeCell ref="D668:E668"/>
    <mergeCell ref="D666:E666"/>
    <mergeCell ref="D667:E667"/>
    <mergeCell ref="D665:E665"/>
    <mergeCell ref="D664:E664"/>
    <mergeCell ref="D662:E662"/>
    <mergeCell ref="D661:E661"/>
    <mergeCell ref="D663:E663"/>
    <mergeCell ref="G65:K66"/>
    <mergeCell ref="G67:K75"/>
    <mergeCell ref="D69:F69"/>
    <mergeCell ref="D68:F68"/>
    <mergeCell ref="D67:F67"/>
    <mergeCell ref="D54:F54"/>
    <mergeCell ref="D52:F52"/>
    <mergeCell ref="D51:F51"/>
    <mergeCell ref="G34:K36"/>
    <mergeCell ref="G37:K50"/>
    <mergeCell ref="D75:F75"/>
    <mergeCell ref="D74:F74"/>
    <mergeCell ref="D73:F73"/>
    <mergeCell ref="D72:F72"/>
    <mergeCell ref="D71:F71"/>
    <mergeCell ref="D70:F70"/>
    <mergeCell ref="D53:F53"/>
    <mergeCell ref="D66:F66"/>
    <mergeCell ref="D65:F65"/>
    <mergeCell ref="D64:F64"/>
    <mergeCell ref="D62:F62"/>
    <mergeCell ref="D35:F35"/>
    <mergeCell ref="D34:F34"/>
    <mergeCell ref="D59:F59"/>
    <mergeCell ref="D58:F58"/>
    <mergeCell ref="D57:F57"/>
    <mergeCell ref="D56:F56"/>
    <mergeCell ref="D55:F55"/>
    <mergeCell ref="G51:K53"/>
    <mergeCell ref="G54:K58"/>
    <mergeCell ref="G59:K64"/>
    <mergeCell ref="D29:F29"/>
    <mergeCell ref="D28:F28"/>
    <mergeCell ref="D26:F26"/>
    <mergeCell ref="D25:F25"/>
    <mergeCell ref="D24:F24"/>
    <mergeCell ref="G13:K13"/>
    <mergeCell ref="D22:F22"/>
    <mergeCell ref="D44:F44"/>
    <mergeCell ref="D43:F43"/>
    <mergeCell ref="D33:F33"/>
    <mergeCell ref="D32:F32"/>
    <mergeCell ref="D31:F31"/>
    <mergeCell ref="D30:F30"/>
    <mergeCell ref="D42:F42"/>
    <mergeCell ref="D41:F41"/>
    <mergeCell ref="D40:F40"/>
    <mergeCell ref="D39:F39"/>
    <mergeCell ref="G14:K26"/>
    <mergeCell ref="G27:K33"/>
    <mergeCell ref="B13:C13"/>
    <mergeCell ref="D17:F17"/>
    <mergeCell ref="D18:F18"/>
    <mergeCell ref="D13:F13"/>
    <mergeCell ref="D16:F16"/>
    <mergeCell ref="D15:F15"/>
    <mergeCell ref="D14:F14"/>
    <mergeCell ref="D20:F20"/>
    <mergeCell ref="D19:F19"/>
    <mergeCell ref="B67:C75"/>
    <mergeCell ref="B14:C26"/>
    <mergeCell ref="D63:F63"/>
    <mergeCell ref="D61:F61"/>
    <mergeCell ref="D60:F60"/>
    <mergeCell ref="B27:C33"/>
    <mergeCell ref="B34:C36"/>
    <mergeCell ref="B37:C50"/>
    <mergeCell ref="B51:C53"/>
    <mergeCell ref="B54:C58"/>
    <mergeCell ref="B59:C64"/>
    <mergeCell ref="B65:C66"/>
    <mergeCell ref="D38:F38"/>
    <mergeCell ref="D37:F37"/>
    <mergeCell ref="D36:F36"/>
    <mergeCell ref="D50:F50"/>
    <mergeCell ref="D49:F49"/>
    <mergeCell ref="D23:F23"/>
    <mergeCell ref="D21:F21"/>
    <mergeCell ref="D48:F48"/>
    <mergeCell ref="D47:F47"/>
    <mergeCell ref="D46:F46"/>
    <mergeCell ref="D45:F45"/>
    <mergeCell ref="D27:F27"/>
  </mergeCells>
  <hyperlinks>
    <hyperlink ref="G37" r:id="rId1" display="https://moodle.urv.cat/docnet/guia_docent/index.php?centre=codicentre" xr:uid="{00000000-0004-0000-0200-000000000000}"/>
    <hyperlink ref="G51" r:id="rId2" xr:uid="{00000000-0004-0000-0200-000001000000}"/>
    <hyperlink ref="G59" r:id="rId3" display="https://www.urv.cat/ca/universitat/normatives/normativa-mobilitat/" xr:uid="{00000000-0004-0000-0200-000002000000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S108"/>
  <sheetViews>
    <sheetView zoomScaleNormal="100" workbookViewId="0">
      <selection activeCell="H7" sqref="H7"/>
    </sheetView>
  </sheetViews>
  <sheetFormatPr baseColWidth="10" defaultColWidth="11.5" defaultRowHeight="15" x14ac:dyDescent="0.2"/>
  <sheetData>
    <row r="7" spans="1:19" ht="18" x14ac:dyDescent="0.2">
      <c r="B7" s="1" t="s">
        <v>0</v>
      </c>
    </row>
    <row r="9" spans="1:19" ht="18" x14ac:dyDescent="0.2">
      <c r="B9" s="1" t="s">
        <v>669</v>
      </c>
    </row>
    <row r="10" spans="1:19" ht="18" x14ac:dyDescent="0.2">
      <c r="B10" s="1"/>
    </row>
    <row r="12" spans="1:19" x14ac:dyDescent="0.2">
      <c r="A12" s="49"/>
      <c r="B12" s="5" t="s">
        <v>818</v>
      </c>
      <c r="C12" s="5"/>
      <c r="D12" s="5"/>
      <c r="E12" s="5"/>
      <c r="F12" s="5"/>
      <c r="G12" s="5"/>
      <c r="H12" s="5"/>
      <c r="I12" s="5"/>
      <c r="J12" s="492" t="s">
        <v>930</v>
      </c>
      <c r="K12" s="5"/>
      <c r="L12" s="5"/>
    </row>
    <row r="13" spans="1:19" x14ac:dyDescent="0.2">
      <c r="B13" s="846" t="s">
        <v>7</v>
      </c>
      <c r="C13" s="846"/>
      <c r="D13" s="846"/>
      <c r="E13" s="846"/>
      <c r="F13" s="846"/>
      <c r="G13" s="846"/>
      <c r="H13" s="846"/>
      <c r="I13" s="846"/>
      <c r="J13" s="274"/>
      <c r="K13" s="846"/>
      <c r="L13" s="846"/>
      <c r="M13" s="846"/>
      <c r="N13" s="846"/>
      <c r="O13" s="847"/>
      <c r="P13" s="847"/>
      <c r="Q13" s="847"/>
      <c r="R13" s="847"/>
      <c r="S13" s="847"/>
    </row>
    <row r="14" spans="1:19" ht="15.75" customHeight="1" x14ac:dyDescent="0.2">
      <c r="B14" s="731" t="s">
        <v>166</v>
      </c>
      <c r="C14" s="731" t="s">
        <v>167</v>
      </c>
      <c r="D14" s="731"/>
      <c r="E14" s="731" t="s">
        <v>168</v>
      </c>
      <c r="F14" s="731"/>
      <c r="G14" s="731" t="s">
        <v>169</v>
      </c>
      <c r="H14" s="731" t="s">
        <v>170</v>
      </c>
      <c r="I14" s="731" t="s">
        <v>171</v>
      </c>
      <c r="J14" s="731"/>
      <c r="K14" s="731" t="s">
        <v>172</v>
      </c>
      <c r="L14" s="731"/>
      <c r="M14" s="734" t="s">
        <v>251</v>
      </c>
      <c r="N14" s="734"/>
      <c r="O14" s="734"/>
      <c r="P14" s="734"/>
      <c r="Q14" s="734"/>
      <c r="R14" s="731" t="s">
        <v>173</v>
      </c>
      <c r="S14" s="731"/>
    </row>
    <row r="15" spans="1:19" ht="23.25" customHeight="1" x14ac:dyDescent="0.2">
      <c r="B15" s="734"/>
      <c r="C15" s="734"/>
      <c r="D15" s="734"/>
      <c r="E15" s="734"/>
      <c r="F15" s="734"/>
      <c r="G15" s="734"/>
      <c r="H15" s="734"/>
      <c r="I15" s="734"/>
      <c r="J15" s="734"/>
      <c r="K15" s="734"/>
      <c r="L15" s="734"/>
      <c r="M15" s="170" t="s">
        <v>174</v>
      </c>
      <c r="N15" s="170" t="s">
        <v>175</v>
      </c>
      <c r="O15" s="170" t="s">
        <v>916</v>
      </c>
      <c r="P15" s="170" t="s">
        <v>995</v>
      </c>
      <c r="Q15" s="170" t="s">
        <v>1172</v>
      </c>
      <c r="R15" s="734"/>
      <c r="S15" s="734"/>
    </row>
    <row r="16" spans="1:19" x14ac:dyDescent="0.2">
      <c r="B16" s="851" t="s">
        <v>176</v>
      </c>
      <c r="C16" s="851"/>
      <c r="D16" s="851"/>
      <c r="E16" s="851"/>
      <c r="F16" s="851"/>
      <c r="G16" s="851"/>
      <c r="H16" s="851"/>
      <c r="I16" s="851"/>
      <c r="J16" s="226"/>
      <c r="K16" s="851"/>
      <c r="L16" s="851"/>
      <c r="M16" s="831"/>
      <c r="N16" s="831"/>
      <c r="O16" s="831"/>
      <c r="P16" s="831"/>
      <c r="Q16" s="831"/>
      <c r="R16" s="831"/>
      <c r="S16" s="831"/>
    </row>
    <row r="17" spans="2:19" ht="15" customHeight="1" x14ac:dyDescent="0.2">
      <c r="B17" s="833"/>
      <c r="C17" s="833" t="s">
        <v>177</v>
      </c>
      <c r="D17" s="833"/>
      <c r="E17" s="833" t="s">
        <v>178</v>
      </c>
      <c r="F17" s="833"/>
      <c r="G17" s="833" t="s">
        <v>179</v>
      </c>
      <c r="H17" s="833" t="s">
        <v>180</v>
      </c>
      <c r="I17" s="833" t="s">
        <v>181</v>
      </c>
      <c r="J17" s="833"/>
      <c r="K17" s="833" t="s">
        <v>182</v>
      </c>
      <c r="L17" s="833"/>
      <c r="M17" s="836">
        <v>0.65720000000000001</v>
      </c>
      <c r="N17" s="836">
        <v>0.85</v>
      </c>
      <c r="O17" s="836">
        <f>24/60</f>
        <v>0.4</v>
      </c>
      <c r="P17" s="836">
        <f>14/60</f>
        <v>0.23333333333333334</v>
      </c>
      <c r="Q17" s="836">
        <v>1.43E-2</v>
      </c>
      <c r="R17" s="833" t="s">
        <v>183</v>
      </c>
      <c r="S17" s="833"/>
    </row>
    <row r="18" spans="2:19" x14ac:dyDescent="0.2">
      <c r="B18" s="833"/>
      <c r="C18" s="833"/>
      <c r="D18" s="833"/>
      <c r="E18" s="833"/>
      <c r="F18" s="833"/>
      <c r="G18" s="833"/>
      <c r="H18" s="833"/>
      <c r="I18" s="833"/>
      <c r="J18" s="833"/>
      <c r="K18" s="833"/>
      <c r="L18" s="833"/>
      <c r="M18" s="836"/>
      <c r="N18" s="836"/>
      <c r="O18" s="836"/>
      <c r="P18" s="834"/>
      <c r="Q18" s="834"/>
      <c r="R18" s="833" t="s">
        <v>184</v>
      </c>
      <c r="S18" s="833"/>
    </row>
    <row r="19" spans="2:19" x14ac:dyDescent="0.2">
      <c r="B19" s="833"/>
      <c r="C19" s="833"/>
      <c r="D19" s="833"/>
      <c r="E19" s="833"/>
      <c r="F19" s="833"/>
      <c r="G19" s="833"/>
      <c r="H19" s="833"/>
      <c r="I19" s="833"/>
      <c r="J19" s="833"/>
      <c r="K19" s="833"/>
      <c r="L19" s="833"/>
      <c r="M19" s="836"/>
      <c r="N19" s="836"/>
      <c r="O19" s="836"/>
      <c r="P19" s="834"/>
      <c r="Q19" s="834"/>
      <c r="R19" s="833" t="s">
        <v>185</v>
      </c>
      <c r="S19" s="833"/>
    </row>
    <row r="20" spans="2:19" ht="37.5" customHeight="1" thickBot="1" x14ac:dyDescent="0.25">
      <c r="B20" s="839"/>
      <c r="C20" s="839"/>
      <c r="D20" s="839"/>
      <c r="E20" s="839" t="s">
        <v>186</v>
      </c>
      <c r="F20" s="839"/>
      <c r="G20" s="839"/>
      <c r="H20" s="839"/>
      <c r="I20" s="839"/>
      <c r="J20" s="839"/>
      <c r="K20" s="839"/>
      <c r="L20" s="839"/>
      <c r="M20" s="857"/>
      <c r="N20" s="857"/>
      <c r="O20" s="837"/>
      <c r="P20" s="835"/>
      <c r="Q20" s="835"/>
      <c r="R20" s="839" t="s">
        <v>187</v>
      </c>
      <c r="S20" s="839"/>
    </row>
    <row r="21" spans="2:19" ht="15" customHeight="1" x14ac:dyDescent="0.2">
      <c r="B21" s="844"/>
      <c r="C21" s="840" t="s">
        <v>188</v>
      </c>
      <c r="D21" s="840"/>
      <c r="E21" s="840" t="s">
        <v>178</v>
      </c>
      <c r="F21" s="840"/>
      <c r="G21" s="840" t="s">
        <v>179</v>
      </c>
      <c r="H21" s="840" t="s">
        <v>180</v>
      </c>
      <c r="I21" s="840" t="s">
        <v>181</v>
      </c>
      <c r="J21" s="840"/>
      <c r="K21" s="840" t="s">
        <v>182</v>
      </c>
      <c r="L21" s="840"/>
      <c r="M21" s="858">
        <v>0.73329999999999995</v>
      </c>
      <c r="N21" s="858">
        <v>0.317</v>
      </c>
      <c r="O21" s="838">
        <f>31/56</f>
        <v>0.5535714285714286</v>
      </c>
      <c r="P21" s="836">
        <f>10/40</f>
        <v>0.25</v>
      </c>
      <c r="Q21" s="836">
        <v>0.22</v>
      </c>
      <c r="R21" s="840" t="s">
        <v>183</v>
      </c>
      <c r="S21" s="840"/>
    </row>
    <row r="22" spans="2:19" x14ac:dyDescent="0.2">
      <c r="B22" s="848"/>
      <c r="C22" s="833"/>
      <c r="D22" s="833"/>
      <c r="E22" s="833"/>
      <c r="F22" s="833"/>
      <c r="G22" s="833"/>
      <c r="H22" s="833"/>
      <c r="I22" s="833"/>
      <c r="J22" s="833"/>
      <c r="K22" s="833"/>
      <c r="L22" s="833"/>
      <c r="M22" s="836"/>
      <c r="N22" s="836"/>
      <c r="O22" s="836"/>
      <c r="P22" s="834"/>
      <c r="Q22" s="834"/>
      <c r="R22" s="833" t="s">
        <v>184</v>
      </c>
      <c r="S22" s="833"/>
    </row>
    <row r="23" spans="2:19" x14ac:dyDescent="0.2">
      <c r="B23" s="848"/>
      <c r="C23" s="833"/>
      <c r="D23" s="833"/>
      <c r="E23" s="833"/>
      <c r="F23" s="833"/>
      <c r="G23" s="833"/>
      <c r="H23" s="833"/>
      <c r="I23" s="833"/>
      <c r="J23" s="833"/>
      <c r="K23" s="833"/>
      <c r="L23" s="833"/>
      <c r="M23" s="836"/>
      <c r="N23" s="836"/>
      <c r="O23" s="836"/>
      <c r="P23" s="834"/>
      <c r="Q23" s="834"/>
      <c r="R23" s="833" t="s">
        <v>185</v>
      </c>
      <c r="S23" s="833"/>
    </row>
    <row r="24" spans="2:19" ht="33" customHeight="1" thickBot="1" x14ac:dyDescent="0.25">
      <c r="B24" s="849"/>
      <c r="C24" s="839"/>
      <c r="D24" s="839"/>
      <c r="E24" s="839" t="s">
        <v>186</v>
      </c>
      <c r="F24" s="839"/>
      <c r="G24" s="839"/>
      <c r="H24" s="839"/>
      <c r="I24" s="839"/>
      <c r="J24" s="839"/>
      <c r="K24" s="839"/>
      <c r="L24" s="839"/>
      <c r="M24" s="857"/>
      <c r="N24" s="857"/>
      <c r="O24" s="837"/>
      <c r="P24" s="835"/>
      <c r="Q24" s="835"/>
      <c r="R24" s="839" t="s">
        <v>187</v>
      </c>
      <c r="S24" s="839"/>
    </row>
    <row r="25" spans="2:19" ht="33" customHeight="1" thickBot="1" x14ac:dyDescent="0.25">
      <c r="B25" s="216"/>
      <c r="C25" s="842" t="s">
        <v>189</v>
      </c>
      <c r="D25" s="842"/>
      <c r="E25" s="842" t="s">
        <v>190</v>
      </c>
      <c r="F25" s="842"/>
      <c r="G25" s="217" t="s">
        <v>179</v>
      </c>
      <c r="H25" s="217" t="s">
        <v>180</v>
      </c>
      <c r="I25" s="842" t="s">
        <v>191</v>
      </c>
      <c r="J25" s="842"/>
      <c r="K25" s="842" t="s">
        <v>182</v>
      </c>
      <c r="L25" s="842"/>
      <c r="M25" s="218">
        <v>0.5544</v>
      </c>
      <c r="N25" s="218">
        <v>0.49249999999999999</v>
      </c>
      <c r="O25" s="433">
        <f>365/1178</f>
        <v>0.30984719864176569</v>
      </c>
      <c r="P25" s="433">
        <f>734/1531</f>
        <v>0.47942521227955587</v>
      </c>
      <c r="Q25" s="433">
        <f>306/1851</f>
        <v>0.16531604538087522</v>
      </c>
      <c r="R25" s="842" t="s">
        <v>192</v>
      </c>
      <c r="S25" s="842"/>
    </row>
    <row r="26" spans="2:19" ht="15" customHeight="1" x14ac:dyDescent="0.2">
      <c r="B26" s="844"/>
      <c r="C26" s="840" t="s">
        <v>193</v>
      </c>
      <c r="D26" s="840"/>
      <c r="E26" s="840" t="s">
        <v>178</v>
      </c>
      <c r="F26" s="840"/>
      <c r="G26" s="840" t="s">
        <v>179</v>
      </c>
      <c r="H26" s="840" t="s">
        <v>180</v>
      </c>
      <c r="I26" s="840" t="s">
        <v>191</v>
      </c>
      <c r="J26" s="840"/>
      <c r="K26" s="840" t="s">
        <v>182</v>
      </c>
      <c r="L26" s="840"/>
      <c r="M26" s="858">
        <v>0.5544</v>
      </c>
      <c r="N26" s="858">
        <v>0.49249999999999999</v>
      </c>
      <c r="O26" s="838">
        <f>306/1178</f>
        <v>0.25976230899830222</v>
      </c>
      <c r="P26" s="838">
        <f>623/1531</f>
        <v>0.40692357935989548</v>
      </c>
      <c r="Q26" s="838">
        <f>211/1851</f>
        <v>0.11399243652079957</v>
      </c>
      <c r="R26" s="840" t="s">
        <v>183</v>
      </c>
      <c r="S26" s="840"/>
    </row>
    <row r="27" spans="2:19" x14ac:dyDescent="0.2">
      <c r="B27" s="848"/>
      <c r="C27" s="833"/>
      <c r="D27" s="833"/>
      <c r="E27" s="833"/>
      <c r="F27" s="833"/>
      <c r="G27" s="833"/>
      <c r="H27" s="833"/>
      <c r="I27" s="833"/>
      <c r="J27" s="833"/>
      <c r="K27" s="833"/>
      <c r="L27" s="833"/>
      <c r="M27" s="836"/>
      <c r="N27" s="836"/>
      <c r="O27" s="836"/>
      <c r="P27" s="834"/>
      <c r="Q27" s="834"/>
      <c r="R27" s="833" t="s">
        <v>184</v>
      </c>
      <c r="S27" s="833"/>
    </row>
    <row r="28" spans="2:19" x14ac:dyDescent="0.2">
      <c r="B28" s="848"/>
      <c r="C28" s="833"/>
      <c r="D28" s="833"/>
      <c r="E28" s="833"/>
      <c r="F28" s="833"/>
      <c r="G28" s="833"/>
      <c r="H28" s="833"/>
      <c r="I28" s="833"/>
      <c r="J28" s="833"/>
      <c r="K28" s="833"/>
      <c r="L28" s="833"/>
      <c r="M28" s="836"/>
      <c r="N28" s="836"/>
      <c r="O28" s="836"/>
      <c r="P28" s="834"/>
      <c r="Q28" s="834"/>
      <c r="R28" s="833" t="s">
        <v>185</v>
      </c>
      <c r="S28" s="833"/>
    </row>
    <row r="29" spans="2:19" ht="36" customHeight="1" thickBot="1" x14ac:dyDescent="0.25">
      <c r="B29" s="849"/>
      <c r="C29" s="839"/>
      <c r="D29" s="839"/>
      <c r="E29" s="839" t="s">
        <v>186</v>
      </c>
      <c r="F29" s="839"/>
      <c r="G29" s="839"/>
      <c r="H29" s="839"/>
      <c r="I29" s="839"/>
      <c r="J29" s="839"/>
      <c r="K29" s="839"/>
      <c r="L29" s="839"/>
      <c r="M29" s="857"/>
      <c r="N29" s="857"/>
      <c r="O29" s="837"/>
      <c r="P29" s="835"/>
      <c r="Q29" s="835"/>
      <c r="R29" s="839" t="s">
        <v>187</v>
      </c>
      <c r="S29" s="839"/>
    </row>
    <row r="30" spans="2:19" ht="42" customHeight="1" thickBot="1" x14ac:dyDescent="0.25">
      <c r="B30" s="216"/>
      <c r="C30" s="842" t="s">
        <v>194</v>
      </c>
      <c r="D30" s="842"/>
      <c r="E30" s="842" t="s">
        <v>195</v>
      </c>
      <c r="F30" s="842"/>
      <c r="G30" s="217" t="s">
        <v>179</v>
      </c>
      <c r="H30" s="217" t="s">
        <v>180</v>
      </c>
      <c r="I30" s="842" t="s">
        <v>181</v>
      </c>
      <c r="J30" s="842"/>
      <c r="K30" s="842" t="s">
        <v>182</v>
      </c>
      <c r="L30" s="842"/>
      <c r="M30" s="218">
        <v>0.4667</v>
      </c>
      <c r="N30" s="218">
        <v>0.3846</v>
      </c>
      <c r="O30" s="433">
        <f>5/15</f>
        <v>0.33333333333333331</v>
      </c>
      <c r="P30" s="433">
        <f>4/22</f>
        <v>0.18181818181818182</v>
      </c>
      <c r="Q30" s="433">
        <f>1/12</f>
        <v>8.3333333333333329E-2</v>
      </c>
      <c r="R30" s="842" t="s">
        <v>187</v>
      </c>
      <c r="S30" s="842"/>
    </row>
    <row r="31" spans="2:19" ht="42" customHeight="1" thickBot="1" x14ac:dyDescent="0.25">
      <c r="B31" s="216"/>
      <c r="C31" s="842" t="s">
        <v>196</v>
      </c>
      <c r="D31" s="842"/>
      <c r="E31" s="842" t="s">
        <v>195</v>
      </c>
      <c r="F31" s="842"/>
      <c r="G31" s="217" t="s">
        <v>179</v>
      </c>
      <c r="H31" s="217" t="s">
        <v>180</v>
      </c>
      <c r="I31" s="842" t="s">
        <v>181</v>
      </c>
      <c r="J31" s="842"/>
      <c r="K31" s="842" t="s">
        <v>182</v>
      </c>
      <c r="L31" s="842"/>
      <c r="M31" s="218">
        <v>0.5</v>
      </c>
      <c r="N31" s="218">
        <v>0.36840000000000001</v>
      </c>
      <c r="O31" s="433">
        <f>6/19</f>
        <v>0.31578947368421051</v>
      </c>
      <c r="P31" s="433">
        <f>4/25</f>
        <v>0.16</v>
      </c>
      <c r="Q31" s="433">
        <f>2/19</f>
        <v>0.10526315789473684</v>
      </c>
      <c r="R31" s="842" t="s">
        <v>187</v>
      </c>
      <c r="S31" s="842"/>
    </row>
    <row r="32" spans="2:19" ht="42" customHeight="1" thickBot="1" x14ac:dyDescent="0.25">
      <c r="B32" s="216"/>
      <c r="C32" s="842" t="s">
        <v>901</v>
      </c>
      <c r="D32" s="842"/>
      <c r="E32" s="842" t="s">
        <v>195</v>
      </c>
      <c r="F32" s="842"/>
      <c r="G32" s="217" t="s">
        <v>179</v>
      </c>
      <c r="H32" s="217" t="s">
        <v>180</v>
      </c>
      <c r="I32" s="842" t="s">
        <v>181</v>
      </c>
      <c r="J32" s="842"/>
      <c r="K32" s="842" t="s">
        <v>182</v>
      </c>
      <c r="L32" s="842"/>
      <c r="M32" s="218">
        <v>0.56569999999999998</v>
      </c>
      <c r="N32" s="218">
        <v>0.1759</v>
      </c>
      <c r="O32" s="433">
        <f>60/136</f>
        <v>0.44117647058823528</v>
      </c>
      <c r="P32" s="433">
        <f>31/151</f>
        <v>0.20529801324503311</v>
      </c>
      <c r="Q32" s="433">
        <v>6.3299999999999995E-2</v>
      </c>
      <c r="R32" s="842"/>
      <c r="S32" s="842"/>
    </row>
    <row r="33" spans="2:19" ht="45.75" customHeight="1" x14ac:dyDescent="0.2">
      <c r="B33" s="214"/>
      <c r="C33" s="833" t="s">
        <v>902</v>
      </c>
      <c r="D33" s="833"/>
      <c r="E33" s="833" t="s">
        <v>186</v>
      </c>
      <c r="F33" s="833"/>
      <c r="G33" s="212" t="s">
        <v>179</v>
      </c>
      <c r="H33" s="212" t="s">
        <v>180</v>
      </c>
      <c r="I33" s="833" t="s">
        <v>181</v>
      </c>
      <c r="J33" s="833"/>
      <c r="K33" s="833" t="s">
        <v>182</v>
      </c>
      <c r="L33" s="833"/>
      <c r="M33" s="445" t="s">
        <v>52</v>
      </c>
      <c r="N33" s="445" t="s">
        <v>52</v>
      </c>
      <c r="O33" s="445">
        <f>5/136</f>
        <v>3.6764705882352942E-2</v>
      </c>
      <c r="P33" s="445" t="s">
        <v>52</v>
      </c>
      <c r="Q33" s="445" t="s">
        <v>52</v>
      </c>
      <c r="R33" s="833"/>
      <c r="S33" s="833"/>
    </row>
    <row r="34" spans="2:19" ht="15" customHeight="1" x14ac:dyDescent="0.2">
      <c r="B34" s="832" t="s">
        <v>197</v>
      </c>
      <c r="C34" s="832"/>
      <c r="D34" s="832"/>
      <c r="E34" s="832"/>
      <c r="F34" s="832"/>
      <c r="G34" s="832"/>
      <c r="H34" s="832"/>
      <c r="I34" s="832"/>
      <c r="J34" s="227"/>
      <c r="K34" s="851"/>
      <c r="L34" s="851"/>
      <c r="M34" s="832"/>
      <c r="N34" s="832"/>
      <c r="O34" s="832"/>
      <c r="P34" s="832"/>
      <c r="Q34" s="832"/>
      <c r="R34" s="832"/>
      <c r="S34" s="832"/>
    </row>
    <row r="35" spans="2:19" ht="36.75" customHeight="1" x14ac:dyDescent="0.2">
      <c r="B35" s="848"/>
      <c r="C35" s="833" t="s">
        <v>895</v>
      </c>
      <c r="D35" s="833"/>
      <c r="E35" s="833" t="s">
        <v>198</v>
      </c>
      <c r="F35" s="833"/>
      <c r="G35" s="833" t="s">
        <v>179</v>
      </c>
      <c r="H35" s="833" t="s">
        <v>180</v>
      </c>
      <c r="I35" s="833" t="s">
        <v>181</v>
      </c>
      <c r="J35" s="833"/>
      <c r="K35" s="833" t="s">
        <v>182</v>
      </c>
      <c r="L35" s="833"/>
      <c r="M35" s="833" t="s">
        <v>52</v>
      </c>
      <c r="N35" s="833" t="s">
        <v>52</v>
      </c>
      <c r="O35" s="833" t="s">
        <v>52</v>
      </c>
      <c r="P35" s="833" t="s">
        <v>52</v>
      </c>
      <c r="Q35" s="833" t="s">
        <v>52</v>
      </c>
      <c r="R35" s="833"/>
      <c r="S35" s="833"/>
    </row>
    <row r="36" spans="2:19" ht="39.75" customHeight="1" x14ac:dyDescent="0.2">
      <c r="B36" s="848"/>
      <c r="C36" s="833"/>
      <c r="D36" s="833"/>
      <c r="E36" s="833" t="s">
        <v>199</v>
      </c>
      <c r="F36" s="833"/>
      <c r="G36" s="833"/>
      <c r="H36" s="833"/>
      <c r="I36" s="833"/>
      <c r="J36" s="833"/>
      <c r="K36" s="833"/>
      <c r="L36" s="833"/>
      <c r="M36" s="833"/>
      <c r="N36" s="833"/>
      <c r="O36" s="833"/>
      <c r="P36" s="834"/>
      <c r="Q36" s="834"/>
      <c r="R36" s="833"/>
      <c r="S36" s="833"/>
    </row>
    <row r="37" spans="2:19" ht="27" customHeight="1" x14ac:dyDescent="0.2">
      <c r="B37" s="848"/>
      <c r="C37" s="833"/>
      <c r="D37" s="833"/>
      <c r="E37" s="833" t="s">
        <v>200</v>
      </c>
      <c r="F37" s="833"/>
      <c r="G37" s="833"/>
      <c r="H37" s="833"/>
      <c r="I37" s="833"/>
      <c r="J37" s="833"/>
      <c r="K37" s="833"/>
      <c r="L37" s="833"/>
      <c r="M37" s="833"/>
      <c r="N37" s="833"/>
      <c r="O37" s="833"/>
      <c r="P37" s="834"/>
      <c r="Q37" s="834"/>
      <c r="R37" s="833"/>
      <c r="S37" s="833"/>
    </row>
    <row r="38" spans="2:19" ht="45" customHeight="1" x14ac:dyDescent="0.2">
      <c r="B38" s="848"/>
      <c r="C38" s="833"/>
      <c r="D38" s="833"/>
      <c r="E38" s="833" t="s">
        <v>201</v>
      </c>
      <c r="F38" s="833"/>
      <c r="G38" s="833"/>
      <c r="H38" s="833"/>
      <c r="I38" s="833"/>
      <c r="J38" s="833"/>
      <c r="K38" s="833"/>
      <c r="L38" s="833"/>
      <c r="M38" s="833"/>
      <c r="N38" s="833"/>
      <c r="O38" s="833"/>
      <c r="P38" s="834"/>
      <c r="Q38" s="834"/>
      <c r="R38" s="833"/>
      <c r="S38" s="833"/>
    </row>
    <row r="39" spans="2:19" ht="26.25" customHeight="1" x14ac:dyDescent="0.2">
      <c r="B39" s="848"/>
      <c r="C39" s="833"/>
      <c r="D39" s="833"/>
      <c r="E39" s="833" t="s">
        <v>202</v>
      </c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4"/>
      <c r="Q39" s="834"/>
      <c r="R39" s="833"/>
      <c r="S39" s="833"/>
    </row>
    <row r="40" spans="2:19" ht="27.75" customHeight="1" x14ac:dyDescent="0.2">
      <c r="B40" s="848"/>
      <c r="C40" s="833"/>
      <c r="D40" s="833"/>
      <c r="E40" s="833" t="s">
        <v>203</v>
      </c>
      <c r="F40" s="833"/>
      <c r="G40" s="833"/>
      <c r="H40" s="833"/>
      <c r="I40" s="833"/>
      <c r="J40" s="833"/>
      <c r="K40" s="833"/>
      <c r="L40" s="833"/>
      <c r="M40" s="833"/>
      <c r="N40" s="833"/>
      <c r="O40" s="833"/>
      <c r="P40" s="834"/>
      <c r="Q40" s="834"/>
      <c r="R40" s="833"/>
      <c r="S40" s="833"/>
    </row>
    <row r="41" spans="2:19" ht="24.75" customHeight="1" x14ac:dyDescent="0.2">
      <c r="B41" s="848"/>
      <c r="C41" s="833"/>
      <c r="D41" s="833"/>
      <c r="E41" s="833" t="s">
        <v>204</v>
      </c>
      <c r="F41" s="833"/>
      <c r="G41" s="833"/>
      <c r="H41" s="833"/>
      <c r="I41" s="833"/>
      <c r="J41" s="833"/>
      <c r="K41" s="833"/>
      <c r="L41" s="833"/>
      <c r="M41" s="833"/>
      <c r="N41" s="833"/>
      <c r="O41" s="833"/>
      <c r="P41" s="834"/>
      <c r="Q41" s="834"/>
      <c r="R41" s="833"/>
      <c r="S41" s="833"/>
    </row>
    <row r="42" spans="2:19" ht="26.25" customHeight="1" x14ac:dyDescent="0.2">
      <c r="B42" s="848"/>
      <c r="C42" s="833"/>
      <c r="D42" s="833"/>
      <c r="E42" s="833" t="s">
        <v>205</v>
      </c>
      <c r="F42" s="833"/>
      <c r="G42" s="833"/>
      <c r="H42" s="833"/>
      <c r="I42" s="833"/>
      <c r="J42" s="833"/>
      <c r="K42" s="833"/>
      <c r="L42" s="833"/>
      <c r="M42" s="833"/>
      <c r="N42" s="833"/>
      <c r="O42" s="833"/>
      <c r="P42" s="834"/>
      <c r="Q42" s="834"/>
      <c r="R42" s="833"/>
      <c r="S42" s="833"/>
    </row>
    <row r="43" spans="2:19" ht="37.5" customHeight="1" thickBot="1" x14ac:dyDescent="0.25">
      <c r="B43" s="849"/>
      <c r="C43" s="839"/>
      <c r="D43" s="839"/>
      <c r="E43" s="839" t="s">
        <v>206</v>
      </c>
      <c r="F43" s="839"/>
      <c r="G43" s="839"/>
      <c r="H43" s="839"/>
      <c r="I43" s="839"/>
      <c r="J43" s="839"/>
      <c r="K43" s="839"/>
      <c r="L43" s="839"/>
      <c r="M43" s="839"/>
      <c r="N43" s="839"/>
      <c r="O43" s="856"/>
      <c r="P43" s="835"/>
      <c r="Q43" s="835"/>
      <c r="R43" s="839"/>
      <c r="S43" s="839"/>
    </row>
    <row r="44" spans="2:19" ht="47.25" customHeight="1" thickBot="1" x14ac:dyDescent="0.25">
      <c r="B44" s="216"/>
      <c r="C44" s="850" t="s">
        <v>896</v>
      </c>
      <c r="D44" s="850"/>
      <c r="E44" s="842" t="s">
        <v>207</v>
      </c>
      <c r="F44" s="842"/>
      <c r="G44" s="217" t="s">
        <v>179</v>
      </c>
      <c r="H44" s="217" t="s">
        <v>180</v>
      </c>
      <c r="I44" s="842" t="s">
        <v>181</v>
      </c>
      <c r="J44" s="842"/>
      <c r="K44" s="842" t="s">
        <v>182</v>
      </c>
      <c r="L44" s="842"/>
      <c r="M44" s="218">
        <v>0.83330000000000004</v>
      </c>
      <c r="N44" s="218">
        <v>0.5</v>
      </c>
      <c r="O44" s="433">
        <f>27/31</f>
        <v>0.87096774193548387</v>
      </c>
      <c r="P44" s="433">
        <f>18/28</f>
        <v>0.6428571428571429</v>
      </c>
      <c r="Q44" s="433">
        <v>0.61539999999999995</v>
      </c>
      <c r="R44" s="855"/>
      <c r="S44" s="855"/>
    </row>
    <row r="45" spans="2:19" ht="39.75" customHeight="1" x14ac:dyDescent="0.2">
      <c r="B45" s="213"/>
      <c r="C45" s="798" t="s">
        <v>897</v>
      </c>
      <c r="D45" s="798"/>
      <c r="E45" s="833" t="s">
        <v>208</v>
      </c>
      <c r="F45" s="833"/>
      <c r="G45" s="212" t="s">
        <v>179</v>
      </c>
      <c r="H45" s="212" t="s">
        <v>180</v>
      </c>
      <c r="I45" s="833" t="s">
        <v>181</v>
      </c>
      <c r="J45" s="833"/>
      <c r="K45" s="833" t="s">
        <v>182</v>
      </c>
      <c r="L45" s="833"/>
      <c r="M45" s="213" t="s">
        <v>52</v>
      </c>
      <c r="N45" s="445">
        <v>0.55559999999999998</v>
      </c>
      <c r="O45" s="445">
        <f>9/10</f>
        <v>0.9</v>
      </c>
      <c r="P45" s="445" t="s">
        <v>52</v>
      </c>
      <c r="Q45" s="445" t="s">
        <v>52</v>
      </c>
      <c r="R45" s="840"/>
      <c r="S45" s="840"/>
    </row>
    <row r="46" spans="2:19" x14ac:dyDescent="0.2">
      <c r="B46" s="851" t="s">
        <v>209</v>
      </c>
      <c r="C46" s="851"/>
      <c r="D46" s="851"/>
      <c r="E46" s="851"/>
      <c r="F46" s="832"/>
      <c r="G46" s="832"/>
      <c r="H46" s="832"/>
      <c r="I46" s="832"/>
      <c r="J46" s="227"/>
      <c r="K46" s="852"/>
      <c r="L46" s="852"/>
      <c r="M46" s="832"/>
      <c r="N46" s="832"/>
      <c r="O46" s="832"/>
      <c r="P46" s="832"/>
      <c r="Q46" s="832"/>
      <c r="R46" s="832"/>
      <c r="S46" s="832"/>
    </row>
    <row r="47" spans="2:19" ht="21" customHeight="1" x14ac:dyDescent="0.2">
      <c r="B47" s="853"/>
      <c r="C47" s="798" t="s">
        <v>210</v>
      </c>
      <c r="D47" s="798"/>
      <c r="E47" s="833" t="s">
        <v>178</v>
      </c>
      <c r="F47" s="833"/>
      <c r="G47" s="833" t="s">
        <v>179</v>
      </c>
      <c r="H47" s="833" t="s">
        <v>180</v>
      </c>
      <c r="I47" s="833" t="s">
        <v>181</v>
      </c>
      <c r="J47" s="833"/>
      <c r="K47" s="833" t="s">
        <v>182</v>
      </c>
      <c r="L47" s="833"/>
      <c r="M47" s="836">
        <v>0.32350000000000001</v>
      </c>
      <c r="N47" s="836">
        <v>0.18509999999999999</v>
      </c>
      <c r="O47" s="836">
        <f>8/17</f>
        <v>0.47058823529411764</v>
      </c>
      <c r="P47" s="836">
        <f>4/20</f>
        <v>0.2</v>
      </c>
      <c r="Q47" s="836">
        <v>0.1333</v>
      </c>
      <c r="R47" s="833"/>
      <c r="S47" s="833"/>
    </row>
    <row r="48" spans="2:19" ht="41.25" customHeight="1" thickBot="1" x14ac:dyDescent="0.25">
      <c r="B48" s="854"/>
      <c r="C48" s="800"/>
      <c r="D48" s="800"/>
      <c r="E48" s="839" t="s">
        <v>186</v>
      </c>
      <c r="F48" s="839"/>
      <c r="G48" s="839"/>
      <c r="H48" s="839"/>
      <c r="I48" s="839"/>
      <c r="J48" s="839"/>
      <c r="K48" s="839"/>
      <c r="L48" s="839"/>
      <c r="M48" s="857"/>
      <c r="N48" s="857"/>
      <c r="O48" s="837"/>
      <c r="P48" s="837"/>
      <c r="Q48" s="837"/>
      <c r="R48" s="839"/>
      <c r="S48" s="839"/>
    </row>
    <row r="49" spans="2:19" ht="21" customHeight="1" x14ac:dyDescent="0.2">
      <c r="B49" s="848"/>
      <c r="C49" s="833" t="s">
        <v>898</v>
      </c>
      <c r="D49" s="833"/>
      <c r="E49" s="833" t="s">
        <v>211</v>
      </c>
      <c r="F49" s="833"/>
      <c r="G49" s="833" t="s">
        <v>179</v>
      </c>
      <c r="H49" s="833" t="s">
        <v>180</v>
      </c>
      <c r="I49" s="833" t="s">
        <v>181</v>
      </c>
      <c r="J49" s="833"/>
      <c r="K49" s="833" t="s">
        <v>1021</v>
      </c>
      <c r="L49" s="833"/>
      <c r="M49" s="858">
        <v>0.53800000000000003</v>
      </c>
      <c r="N49" s="858">
        <v>0.42899999999999999</v>
      </c>
      <c r="O49" s="838">
        <v>0.5</v>
      </c>
      <c r="P49" s="836" t="s">
        <v>52</v>
      </c>
      <c r="Q49" s="836">
        <v>0.56000000000000005</v>
      </c>
      <c r="R49" s="833" t="s">
        <v>183</v>
      </c>
      <c r="S49" s="833"/>
    </row>
    <row r="50" spans="2:19" ht="21" customHeight="1" x14ac:dyDescent="0.2">
      <c r="B50" s="848"/>
      <c r="C50" s="833"/>
      <c r="D50" s="833"/>
      <c r="E50" s="833" t="s">
        <v>178</v>
      </c>
      <c r="F50" s="833"/>
      <c r="G50" s="833"/>
      <c r="H50" s="833"/>
      <c r="I50" s="833"/>
      <c r="J50" s="833"/>
      <c r="K50" s="833"/>
      <c r="L50" s="833"/>
      <c r="M50" s="836"/>
      <c r="N50" s="836"/>
      <c r="O50" s="836"/>
      <c r="P50" s="834"/>
      <c r="Q50" s="834"/>
      <c r="R50" s="833" t="s">
        <v>184</v>
      </c>
      <c r="S50" s="833"/>
    </row>
    <row r="51" spans="2:19" ht="16.5" customHeight="1" x14ac:dyDescent="0.2">
      <c r="B51" s="848"/>
      <c r="C51" s="833"/>
      <c r="D51" s="833"/>
      <c r="E51" s="833" t="s">
        <v>186</v>
      </c>
      <c r="F51" s="833"/>
      <c r="G51" s="833"/>
      <c r="H51" s="833"/>
      <c r="I51" s="833"/>
      <c r="J51" s="833"/>
      <c r="K51" s="833"/>
      <c r="L51" s="833"/>
      <c r="M51" s="836"/>
      <c r="N51" s="836"/>
      <c r="O51" s="836"/>
      <c r="P51" s="834"/>
      <c r="Q51" s="834"/>
      <c r="R51" s="833" t="s">
        <v>192</v>
      </c>
      <c r="S51" s="833"/>
    </row>
    <row r="52" spans="2:19" x14ac:dyDescent="0.2">
      <c r="B52" s="848"/>
      <c r="C52" s="833"/>
      <c r="D52" s="833"/>
      <c r="E52" s="833"/>
      <c r="F52" s="833"/>
      <c r="G52" s="833"/>
      <c r="H52" s="833"/>
      <c r="I52" s="833"/>
      <c r="J52" s="833"/>
      <c r="K52" s="833"/>
      <c r="L52" s="833"/>
      <c r="M52" s="836"/>
      <c r="N52" s="836"/>
      <c r="O52" s="836"/>
      <c r="P52" s="834"/>
      <c r="Q52" s="834"/>
      <c r="R52" s="833" t="s">
        <v>185</v>
      </c>
      <c r="S52" s="833"/>
    </row>
    <row r="53" spans="2:19" ht="16" thickBot="1" x14ac:dyDescent="0.25">
      <c r="B53" s="849"/>
      <c r="C53" s="839"/>
      <c r="D53" s="839"/>
      <c r="E53" s="839"/>
      <c r="F53" s="839"/>
      <c r="G53" s="839"/>
      <c r="H53" s="839"/>
      <c r="I53" s="839"/>
      <c r="J53" s="839"/>
      <c r="K53" s="839"/>
      <c r="L53" s="839"/>
      <c r="M53" s="857"/>
      <c r="N53" s="857"/>
      <c r="O53" s="837"/>
      <c r="P53" s="835"/>
      <c r="Q53" s="835"/>
      <c r="R53" s="839" t="s">
        <v>187</v>
      </c>
      <c r="S53" s="839"/>
    </row>
    <row r="54" spans="2:19" ht="18.75" customHeight="1" x14ac:dyDescent="0.2">
      <c r="B54" s="848"/>
      <c r="C54" s="833" t="s">
        <v>899</v>
      </c>
      <c r="D54" s="833"/>
      <c r="E54" s="833" t="s">
        <v>212</v>
      </c>
      <c r="F54" s="833"/>
      <c r="G54" s="833" t="s">
        <v>179</v>
      </c>
      <c r="H54" s="833" t="s">
        <v>180</v>
      </c>
      <c r="I54" s="833" t="s">
        <v>213</v>
      </c>
      <c r="J54" s="833"/>
      <c r="K54" s="833" t="s">
        <v>663</v>
      </c>
      <c r="L54" s="833"/>
      <c r="M54" s="844" t="s">
        <v>52</v>
      </c>
      <c r="N54" s="858">
        <v>0.438</v>
      </c>
      <c r="O54" s="838" t="s">
        <v>52</v>
      </c>
      <c r="P54" s="836" t="s">
        <v>52</v>
      </c>
      <c r="Q54" s="836">
        <v>0.56699999999999995</v>
      </c>
      <c r="R54" s="833" t="s">
        <v>187</v>
      </c>
      <c r="S54" s="833"/>
    </row>
    <row r="55" spans="2:19" ht="30.75" customHeight="1" thickBot="1" x14ac:dyDescent="0.25">
      <c r="B55" s="849"/>
      <c r="C55" s="839"/>
      <c r="D55" s="839"/>
      <c r="E55" s="839" t="s">
        <v>214</v>
      </c>
      <c r="F55" s="839"/>
      <c r="G55" s="839"/>
      <c r="H55" s="839"/>
      <c r="I55" s="839"/>
      <c r="J55" s="839"/>
      <c r="K55" s="839"/>
      <c r="L55" s="839"/>
      <c r="M55" s="849"/>
      <c r="N55" s="857"/>
      <c r="O55" s="837"/>
      <c r="P55" s="835"/>
      <c r="Q55" s="835"/>
      <c r="R55" s="839"/>
      <c r="S55" s="839"/>
    </row>
    <row r="56" spans="2:19" ht="21" customHeight="1" x14ac:dyDescent="0.2">
      <c r="B56" s="844"/>
      <c r="C56" s="843" t="s">
        <v>900</v>
      </c>
      <c r="D56" s="843"/>
      <c r="E56" s="840" t="s">
        <v>212</v>
      </c>
      <c r="F56" s="840"/>
      <c r="G56" s="840" t="s">
        <v>179</v>
      </c>
      <c r="H56" s="840" t="s">
        <v>215</v>
      </c>
      <c r="I56" s="844" t="s">
        <v>52</v>
      </c>
      <c r="J56" s="844"/>
      <c r="K56" s="840" t="s">
        <v>182</v>
      </c>
      <c r="L56" s="840"/>
      <c r="M56" s="844" t="s">
        <v>52</v>
      </c>
      <c r="N56" s="844" t="s">
        <v>52</v>
      </c>
      <c r="O56" s="838" t="s">
        <v>52</v>
      </c>
      <c r="P56" s="838" t="s">
        <v>52</v>
      </c>
      <c r="Q56" s="838" t="s">
        <v>52</v>
      </c>
      <c r="R56" s="840"/>
      <c r="S56" s="840"/>
    </row>
    <row r="57" spans="2:19" ht="28.5" customHeight="1" thickBot="1" x14ac:dyDescent="0.25">
      <c r="B57" s="845"/>
      <c r="C57" s="819"/>
      <c r="D57" s="819"/>
      <c r="E57" s="819" t="s">
        <v>214</v>
      </c>
      <c r="F57" s="819"/>
      <c r="G57" s="841"/>
      <c r="H57" s="841"/>
      <c r="I57" s="845"/>
      <c r="J57" s="845"/>
      <c r="K57" s="841"/>
      <c r="L57" s="841"/>
      <c r="M57" s="845"/>
      <c r="N57" s="845"/>
      <c r="O57" s="859"/>
      <c r="P57" s="830"/>
      <c r="Q57" s="830"/>
      <c r="R57" s="841"/>
      <c r="S57" s="841"/>
    </row>
    <row r="60" spans="2:19" x14ac:dyDescent="0.2">
      <c r="B60" s="846" t="s">
        <v>8</v>
      </c>
      <c r="C60" s="846"/>
      <c r="D60" s="846"/>
      <c r="E60" s="846"/>
      <c r="F60" s="846"/>
      <c r="G60" s="846"/>
      <c r="H60" s="846"/>
      <c r="I60" s="846"/>
      <c r="J60" s="274"/>
      <c r="K60" s="846"/>
      <c r="L60" s="846"/>
      <c r="M60" s="846"/>
      <c r="N60" s="846"/>
      <c r="O60" s="847"/>
      <c r="P60" s="847"/>
      <c r="Q60" s="847"/>
      <c r="R60" s="847"/>
      <c r="S60" s="847"/>
    </row>
    <row r="61" spans="2:19" x14ac:dyDescent="0.2">
      <c r="B61" s="731" t="s">
        <v>166</v>
      </c>
      <c r="C61" s="731" t="s">
        <v>167</v>
      </c>
      <c r="D61" s="731"/>
      <c r="E61" s="731" t="s">
        <v>168</v>
      </c>
      <c r="F61" s="731"/>
      <c r="G61" s="731" t="s">
        <v>169</v>
      </c>
      <c r="H61" s="731" t="s">
        <v>170</v>
      </c>
      <c r="I61" s="731" t="s">
        <v>171</v>
      </c>
      <c r="J61" s="731"/>
      <c r="K61" s="731" t="s">
        <v>172</v>
      </c>
      <c r="L61" s="731"/>
      <c r="M61" s="734" t="s">
        <v>251</v>
      </c>
      <c r="N61" s="734"/>
      <c r="O61" s="734"/>
      <c r="P61" s="734"/>
      <c r="Q61" s="734"/>
      <c r="R61" s="731" t="s">
        <v>173</v>
      </c>
      <c r="S61" s="731"/>
    </row>
    <row r="62" spans="2:19" x14ac:dyDescent="0.2">
      <c r="B62" s="734"/>
      <c r="C62" s="734"/>
      <c r="D62" s="734"/>
      <c r="E62" s="734"/>
      <c r="F62" s="734"/>
      <c r="G62" s="734"/>
      <c r="H62" s="734"/>
      <c r="I62" s="734"/>
      <c r="J62" s="734"/>
      <c r="K62" s="734"/>
      <c r="L62" s="734"/>
      <c r="M62" s="170" t="s">
        <v>174</v>
      </c>
      <c r="N62" s="170" t="s">
        <v>175</v>
      </c>
      <c r="O62" s="170" t="s">
        <v>916</v>
      </c>
      <c r="P62" s="170" t="s">
        <v>995</v>
      </c>
      <c r="Q62" s="170" t="s">
        <v>1172</v>
      </c>
      <c r="R62" s="734"/>
      <c r="S62" s="734"/>
    </row>
    <row r="63" spans="2:19" x14ac:dyDescent="0.2">
      <c r="B63" s="851" t="s">
        <v>176</v>
      </c>
      <c r="C63" s="851"/>
      <c r="D63" s="851"/>
      <c r="E63" s="851"/>
      <c r="F63" s="851"/>
      <c r="G63" s="851"/>
      <c r="H63" s="851"/>
      <c r="I63" s="851"/>
      <c r="J63" s="226"/>
      <c r="K63" s="851"/>
      <c r="L63" s="851"/>
      <c r="M63" s="831"/>
      <c r="N63" s="831"/>
      <c r="O63" s="831"/>
      <c r="P63" s="831"/>
      <c r="Q63" s="831"/>
      <c r="R63" s="831"/>
      <c r="S63" s="831"/>
    </row>
    <row r="64" spans="2:19" ht="15" customHeight="1" x14ac:dyDescent="0.2">
      <c r="B64" s="833"/>
      <c r="C64" s="833" t="s">
        <v>177</v>
      </c>
      <c r="D64" s="833"/>
      <c r="E64" s="833" t="s">
        <v>178</v>
      </c>
      <c r="F64" s="833"/>
      <c r="G64" s="833" t="s">
        <v>179</v>
      </c>
      <c r="H64" s="833" t="s">
        <v>180</v>
      </c>
      <c r="I64" s="833" t="s">
        <v>181</v>
      </c>
      <c r="J64" s="833"/>
      <c r="K64" s="833" t="s">
        <v>182</v>
      </c>
      <c r="L64" s="833"/>
      <c r="M64" s="836">
        <v>0.90480000000000005</v>
      </c>
      <c r="N64" s="836">
        <v>0.7288</v>
      </c>
      <c r="O64" s="836">
        <f>50/55</f>
        <v>0.90909090909090906</v>
      </c>
      <c r="P64" s="836">
        <f>22/65</f>
        <v>0.33846153846153848</v>
      </c>
      <c r="Q64" s="836">
        <v>0.1358</v>
      </c>
      <c r="R64" s="833" t="s">
        <v>183</v>
      </c>
      <c r="S64" s="833"/>
    </row>
    <row r="65" spans="2:19" x14ac:dyDescent="0.2">
      <c r="B65" s="833"/>
      <c r="C65" s="833"/>
      <c r="D65" s="833"/>
      <c r="E65" s="833"/>
      <c r="F65" s="833"/>
      <c r="G65" s="833"/>
      <c r="H65" s="833"/>
      <c r="I65" s="833"/>
      <c r="J65" s="833"/>
      <c r="K65" s="833"/>
      <c r="L65" s="833"/>
      <c r="M65" s="836"/>
      <c r="N65" s="836"/>
      <c r="O65" s="836"/>
      <c r="P65" s="834"/>
      <c r="Q65" s="834"/>
      <c r="R65" s="833" t="s">
        <v>184</v>
      </c>
      <c r="S65" s="833"/>
    </row>
    <row r="66" spans="2:19" x14ac:dyDescent="0.2">
      <c r="B66" s="833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6"/>
      <c r="N66" s="836"/>
      <c r="O66" s="836"/>
      <c r="P66" s="834"/>
      <c r="Q66" s="834"/>
      <c r="R66" s="833" t="s">
        <v>185</v>
      </c>
      <c r="S66" s="833"/>
    </row>
    <row r="67" spans="2:19" ht="36" customHeight="1" thickBot="1" x14ac:dyDescent="0.25">
      <c r="B67" s="839"/>
      <c r="C67" s="839"/>
      <c r="D67" s="839"/>
      <c r="E67" s="839" t="s">
        <v>186</v>
      </c>
      <c r="F67" s="839"/>
      <c r="G67" s="839"/>
      <c r="H67" s="839"/>
      <c r="I67" s="839"/>
      <c r="J67" s="839"/>
      <c r="K67" s="839"/>
      <c r="L67" s="839"/>
      <c r="M67" s="857"/>
      <c r="N67" s="857"/>
      <c r="O67" s="837"/>
      <c r="P67" s="835"/>
      <c r="Q67" s="835"/>
      <c r="R67" s="839" t="s">
        <v>187</v>
      </c>
      <c r="S67" s="839"/>
    </row>
    <row r="68" spans="2:19" ht="15" customHeight="1" x14ac:dyDescent="0.2">
      <c r="B68" s="844"/>
      <c r="C68" s="840" t="s">
        <v>188</v>
      </c>
      <c r="D68" s="840"/>
      <c r="E68" s="840" t="s">
        <v>178</v>
      </c>
      <c r="F68" s="840"/>
      <c r="G68" s="840" t="s">
        <v>179</v>
      </c>
      <c r="H68" s="840" t="s">
        <v>180</v>
      </c>
      <c r="I68" s="840" t="s">
        <v>181</v>
      </c>
      <c r="J68" s="840"/>
      <c r="K68" s="840" t="s">
        <v>182</v>
      </c>
      <c r="L68" s="840"/>
      <c r="M68" s="858">
        <v>0.79049999999999998</v>
      </c>
      <c r="N68" s="858">
        <v>0.42699999999999999</v>
      </c>
      <c r="O68" s="838">
        <f>56/97</f>
        <v>0.57731958762886593</v>
      </c>
      <c r="P68" s="838">
        <f>2/93</f>
        <v>2.1505376344086023E-2</v>
      </c>
      <c r="Q68" s="838">
        <v>0.1019</v>
      </c>
      <c r="R68" s="840" t="s">
        <v>183</v>
      </c>
      <c r="S68" s="840"/>
    </row>
    <row r="69" spans="2:19" x14ac:dyDescent="0.2">
      <c r="B69" s="848"/>
      <c r="C69" s="833"/>
      <c r="D69" s="833"/>
      <c r="E69" s="833"/>
      <c r="F69" s="833"/>
      <c r="G69" s="833"/>
      <c r="H69" s="833"/>
      <c r="I69" s="833"/>
      <c r="J69" s="833"/>
      <c r="K69" s="833"/>
      <c r="L69" s="833"/>
      <c r="M69" s="836"/>
      <c r="N69" s="836"/>
      <c r="O69" s="836"/>
      <c r="P69" s="834"/>
      <c r="Q69" s="834"/>
      <c r="R69" s="833" t="s">
        <v>184</v>
      </c>
      <c r="S69" s="833"/>
    </row>
    <row r="70" spans="2:19" x14ac:dyDescent="0.2">
      <c r="B70" s="848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6"/>
      <c r="N70" s="836"/>
      <c r="O70" s="836"/>
      <c r="P70" s="834"/>
      <c r="Q70" s="834"/>
      <c r="R70" s="833" t="s">
        <v>185</v>
      </c>
      <c r="S70" s="833"/>
    </row>
    <row r="71" spans="2:19" ht="37.5" customHeight="1" thickBot="1" x14ac:dyDescent="0.25">
      <c r="B71" s="849"/>
      <c r="C71" s="839"/>
      <c r="D71" s="839"/>
      <c r="E71" s="839" t="s">
        <v>186</v>
      </c>
      <c r="F71" s="839"/>
      <c r="G71" s="839"/>
      <c r="H71" s="839"/>
      <c r="I71" s="839"/>
      <c r="J71" s="839"/>
      <c r="K71" s="839"/>
      <c r="L71" s="839"/>
      <c r="M71" s="857"/>
      <c r="N71" s="857"/>
      <c r="O71" s="837"/>
      <c r="P71" s="835"/>
      <c r="Q71" s="835"/>
      <c r="R71" s="839" t="s">
        <v>187</v>
      </c>
      <c r="S71" s="839"/>
    </row>
    <row r="72" spans="2:19" ht="32.25" customHeight="1" thickBot="1" x14ac:dyDescent="0.25">
      <c r="B72" s="216"/>
      <c r="C72" s="842" t="s">
        <v>189</v>
      </c>
      <c r="D72" s="842"/>
      <c r="E72" s="842" t="s">
        <v>190</v>
      </c>
      <c r="F72" s="842"/>
      <c r="G72" s="217" t="s">
        <v>179</v>
      </c>
      <c r="H72" s="217" t="s">
        <v>180</v>
      </c>
      <c r="I72" s="842" t="s">
        <v>191</v>
      </c>
      <c r="J72" s="842"/>
      <c r="K72" s="842" t="s">
        <v>182</v>
      </c>
      <c r="L72" s="842"/>
      <c r="M72" s="218">
        <v>0.25</v>
      </c>
      <c r="N72" s="218">
        <v>0.36919999999999997</v>
      </c>
      <c r="O72" s="433">
        <f>1239/2652</f>
        <v>0.46719457013574661</v>
      </c>
      <c r="P72" s="433">
        <f>797/1960</f>
        <v>0.40663265306122448</v>
      </c>
      <c r="Q72" s="433">
        <f>581/2983</f>
        <v>0.19477036540395576</v>
      </c>
      <c r="R72" s="842" t="s">
        <v>192</v>
      </c>
      <c r="S72" s="842"/>
    </row>
    <row r="73" spans="2:19" ht="15" customHeight="1" x14ac:dyDescent="0.2">
      <c r="B73" s="844"/>
      <c r="C73" s="840" t="s">
        <v>193</v>
      </c>
      <c r="D73" s="840"/>
      <c r="E73" s="840" t="s">
        <v>178</v>
      </c>
      <c r="F73" s="840"/>
      <c r="G73" s="840" t="s">
        <v>179</v>
      </c>
      <c r="H73" s="840" t="s">
        <v>180</v>
      </c>
      <c r="I73" s="840" t="s">
        <v>191</v>
      </c>
      <c r="J73" s="840"/>
      <c r="K73" s="840" t="s">
        <v>182</v>
      </c>
      <c r="L73" s="840"/>
      <c r="M73" s="858">
        <v>0.25</v>
      </c>
      <c r="N73" s="858">
        <v>0.36919999999999997</v>
      </c>
      <c r="O73" s="838">
        <v>0.39705882352941174</v>
      </c>
      <c r="P73" s="838">
        <f>665/1960</f>
        <v>0.3392857142857143</v>
      </c>
      <c r="Q73" s="838">
        <f>510/2983</f>
        <v>0.17096882333221589</v>
      </c>
      <c r="R73" s="840" t="s">
        <v>183</v>
      </c>
      <c r="S73" s="840"/>
    </row>
    <row r="74" spans="2:19" x14ac:dyDescent="0.2">
      <c r="B74" s="848"/>
      <c r="C74" s="833"/>
      <c r="D74" s="833"/>
      <c r="E74" s="833"/>
      <c r="F74" s="833"/>
      <c r="G74" s="833"/>
      <c r="H74" s="833"/>
      <c r="I74" s="833"/>
      <c r="J74" s="833"/>
      <c r="K74" s="833"/>
      <c r="L74" s="833"/>
      <c r="M74" s="836"/>
      <c r="N74" s="836"/>
      <c r="O74" s="836"/>
      <c r="P74" s="834"/>
      <c r="Q74" s="834"/>
      <c r="R74" s="833" t="s">
        <v>184</v>
      </c>
      <c r="S74" s="833"/>
    </row>
    <row r="75" spans="2:19" x14ac:dyDescent="0.2">
      <c r="B75" s="848"/>
      <c r="C75" s="833"/>
      <c r="D75" s="833"/>
      <c r="E75" s="833"/>
      <c r="F75" s="833"/>
      <c r="G75" s="833"/>
      <c r="H75" s="833"/>
      <c r="I75" s="833"/>
      <c r="J75" s="833"/>
      <c r="K75" s="833"/>
      <c r="L75" s="833"/>
      <c r="M75" s="836"/>
      <c r="N75" s="836"/>
      <c r="O75" s="836"/>
      <c r="P75" s="834"/>
      <c r="Q75" s="834"/>
      <c r="R75" s="833" t="s">
        <v>185</v>
      </c>
      <c r="S75" s="833"/>
    </row>
    <row r="76" spans="2:19" ht="32.25" customHeight="1" thickBot="1" x14ac:dyDescent="0.25">
      <c r="B76" s="849"/>
      <c r="C76" s="839"/>
      <c r="D76" s="839"/>
      <c r="E76" s="839" t="s">
        <v>186</v>
      </c>
      <c r="F76" s="839"/>
      <c r="G76" s="839"/>
      <c r="H76" s="839"/>
      <c r="I76" s="839"/>
      <c r="J76" s="839"/>
      <c r="K76" s="839"/>
      <c r="L76" s="839"/>
      <c r="M76" s="857"/>
      <c r="N76" s="857"/>
      <c r="O76" s="837"/>
      <c r="P76" s="835"/>
      <c r="Q76" s="835"/>
      <c r="R76" s="839" t="s">
        <v>187</v>
      </c>
      <c r="S76" s="839"/>
    </row>
    <row r="77" spans="2:19" ht="26.25" customHeight="1" thickBot="1" x14ac:dyDescent="0.25">
      <c r="B77" s="216"/>
      <c r="C77" s="842" t="s">
        <v>194</v>
      </c>
      <c r="D77" s="842"/>
      <c r="E77" s="842" t="s">
        <v>195</v>
      </c>
      <c r="F77" s="842"/>
      <c r="G77" s="217" t="s">
        <v>179</v>
      </c>
      <c r="H77" s="217" t="s">
        <v>180</v>
      </c>
      <c r="I77" s="842" t="s">
        <v>181</v>
      </c>
      <c r="J77" s="842"/>
      <c r="K77" s="842" t="s">
        <v>182</v>
      </c>
      <c r="L77" s="842"/>
      <c r="M77" s="218">
        <v>0.74360000000000004</v>
      </c>
      <c r="N77" s="218">
        <v>0.3871</v>
      </c>
      <c r="O77" s="433">
        <f>5/60</f>
        <v>8.3333333333333329E-2</v>
      </c>
      <c r="P77" s="433">
        <f>5/47</f>
        <v>0.10638297872340426</v>
      </c>
      <c r="Q77" s="433">
        <f>8/38</f>
        <v>0.21052631578947367</v>
      </c>
      <c r="R77" s="842" t="s">
        <v>187</v>
      </c>
      <c r="S77" s="842"/>
    </row>
    <row r="78" spans="2:19" ht="27" customHeight="1" thickBot="1" x14ac:dyDescent="0.25">
      <c r="B78" s="216"/>
      <c r="C78" s="842" t="s">
        <v>196</v>
      </c>
      <c r="D78" s="842"/>
      <c r="E78" s="842" t="s">
        <v>195</v>
      </c>
      <c r="F78" s="842"/>
      <c r="G78" s="217" t="s">
        <v>179</v>
      </c>
      <c r="H78" s="217" t="s">
        <v>180</v>
      </c>
      <c r="I78" s="842" t="s">
        <v>181</v>
      </c>
      <c r="J78" s="842"/>
      <c r="K78" s="842" t="s">
        <v>182</v>
      </c>
      <c r="L78" s="842"/>
      <c r="M78" s="218">
        <v>0.65910000000000002</v>
      </c>
      <c r="N78" s="218">
        <v>0.2571</v>
      </c>
      <c r="O78" s="433">
        <f>15/69</f>
        <v>0.21739130434782608</v>
      </c>
      <c r="P78" s="433">
        <f>7/49</f>
        <v>0.14285714285714285</v>
      </c>
      <c r="Q78" s="433">
        <f>10/42</f>
        <v>0.23809523809523808</v>
      </c>
      <c r="R78" s="842" t="s">
        <v>187</v>
      </c>
      <c r="S78" s="842"/>
    </row>
    <row r="79" spans="2:19" ht="37.5" customHeight="1" thickBot="1" x14ac:dyDescent="0.25">
      <c r="B79" s="216"/>
      <c r="C79" s="842" t="s">
        <v>901</v>
      </c>
      <c r="D79" s="842"/>
      <c r="E79" s="842" t="s">
        <v>195</v>
      </c>
      <c r="F79" s="842"/>
      <c r="G79" s="217" t="s">
        <v>179</v>
      </c>
      <c r="H79" s="217" t="s">
        <v>180</v>
      </c>
      <c r="I79" s="842" t="s">
        <v>181</v>
      </c>
      <c r="J79" s="842"/>
      <c r="K79" s="842" t="s">
        <v>182</v>
      </c>
      <c r="L79" s="842"/>
      <c r="M79" s="218">
        <v>0.63329999999999997</v>
      </c>
      <c r="N79" s="218">
        <v>0.32629999999999998</v>
      </c>
      <c r="O79" s="433">
        <f>78/240</f>
        <v>0.32500000000000001</v>
      </c>
      <c r="P79" s="433">
        <f>31/196</f>
        <v>0.15816326530612246</v>
      </c>
      <c r="Q79" s="433">
        <v>8.09E-2</v>
      </c>
      <c r="R79" s="842"/>
      <c r="S79" s="842"/>
    </row>
    <row r="80" spans="2:19" ht="36" customHeight="1" x14ac:dyDescent="0.2">
      <c r="B80" s="214"/>
      <c r="C80" s="833" t="s">
        <v>902</v>
      </c>
      <c r="D80" s="833"/>
      <c r="E80" s="833" t="s">
        <v>186</v>
      </c>
      <c r="F80" s="833"/>
      <c r="G80" s="212" t="s">
        <v>179</v>
      </c>
      <c r="H80" s="212" t="s">
        <v>180</v>
      </c>
      <c r="I80" s="833" t="s">
        <v>181</v>
      </c>
      <c r="J80" s="833"/>
      <c r="K80" s="833" t="s">
        <v>182</v>
      </c>
      <c r="L80" s="833"/>
      <c r="M80" s="445" t="s">
        <v>52</v>
      </c>
      <c r="N80" s="445" t="s">
        <v>52</v>
      </c>
      <c r="O80" s="445">
        <f>63/240</f>
        <v>0.26250000000000001</v>
      </c>
      <c r="P80" s="445" t="s">
        <v>52</v>
      </c>
      <c r="Q80" s="445" t="s">
        <v>52</v>
      </c>
      <c r="R80" s="833"/>
      <c r="S80" s="833"/>
    </row>
    <row r="81" spans="2:19" x14ac:dyDescent="0.2">
      <c r="B81" s="851" t="s">
        <v>197</v>
      </c>
      <c r="C81" s="851"/>
      <c r="D81" s="851"/>
      <c r="E81" s="851"/>
      <c r="F81" s="832"/>
      <c r="G81" s="832"/>
      <c r="H81" s="832"/>
      <c r="I81" s="832"/>
      <c r="J81" s="227"/>
      <c r="K81" s="851"/>
      <c r="L81" s="851"/>
      <c r="M81" s="832"/>
      <c r="N81" s="832"/>
      <c r="O81" s="832"/>
      <c r="P81" s="832"/>
      <c r="Q81" s="832"/>
      <c r="R81" s="832"/>
      <c r="S81" s="832"/>
    </row>
    <row r="82" spans="2:19" ht="35.25" customHeight="1" x14ac:dyDescent="0.2">
      <c r="B82" s="848"/>
      <c r="C82" s="833" t="s">
        <v>895</v>
      </c>
      <c r="D82" s="833"/>
      <c r="E82" s="833" t="s">
        <v>198</v>
      </c>
      <c r="F82" s="833"/>
      <c r="G82" s="833" t="s">
        <v>179</v>
      </c>
      <c r="H82" s="833" t="s">
        <v>180</v>
      </c>
      <c r="I82" s="833" t="s">
        <v>181</v>
      </c>
      <c r="J82" s="833"/>
      <c r="K82" s="833" t="s">
        <v>182</v>
      </c>
      <c r="L82" s="833"/>
      <c r="M82" s="833" t="s">
        <v>52</v>
      </c>
      <c r="N82" s="833" t="s">
        <v>52</v>
      </c>
      <c r="O82" s="833" t="s">
        <v>52</v>
      </c>
      <c r="P82" s="833" t="s">
        <v>52</v>
      </c>
      <c r="Q82" s="833" t="s">
        <v>52</v>
      </c>
      <c r="R82" s="833"/>
      <c r="S82" s="833"/>
    </row>
    <row r="83" spans="2:19" ht="36" customHeight="1" x14ac:dyDescent="0.2">
      <c r="B83" s="848"/>
      <c r="C83" s="833"/>
      <c r="D83" s="833"/>
      <c r="E83" s="833" t="s">
        <v>199</v>
      </c>
      <c r="F83" s="833"/>
      <c r="G83" s="833"/>
      <c r="H83" s="833"/>
      <c r="I83" s="833"/>
      <c r="J83" s="833"/>
      <c r="K83" s="833"/>
      <c r="L83" s="833"/>
      <c r="M83" s="833"/>
      <c r="N83" s="833"/>
      <c r="O83" s="833"/>
      <c r="P83" s="834"/>
      <c r="Q83" s="834"/>
      <c r="R83" s="833"/>
      <c r="S83" s="833"/>
    </row>
    <row r="84" spans="2:19" ht="26.25" customHeight="1" x14ac:dyDescent="0.2">
      <c r="B84" s="848"/>
      <c r="C84" s="833"/>
      <c r="D84" s="833"/>
      <c r="E84" s="833" t="s">
        <v>200</v>
      </c>
      <c r="F84" s="833"/>
      <c r="G84" s="833"/>
      <c r="H84" s="833"/>
      <c r="I84" s="833"/>
      <c r="J84" s="833"/>
      <c r="K84" s="833"/>
      <c r="L84" s="833"/>
      <c r="M84" s="833"/>
      <c r="N84" s="833"/>
      <c r="O84" s="833"/>
      <c r="P84" s="834"/>
      <c r="Q84" s="834"/>
      <c r="R84" s="833"/>
      <c r="S84" s="833"/>
    </row>
    <row r="85" spans="2:19" ht="42.75" customHeight="1" x14ac:dyDescent="0.2">
      <c r="B85" s="848"/>
      <c r="C85" s="833"/>
      <c r="D85" s="833"/>
      <c r="E85" s="833" t="s">
        <v>201</v>
      </c>
      <c r="F85" s="833"/>
      <c r="G85" s="833"/>
      <c r="H85" s="833"/>
      <c r="I85" s="833"/>
      <c r="J85" s="833"/>
      <c r="K85" s="833"/>
      <c r="L85" s="833"/>
      <c r="M85" s="833"/>
      <c r="N85" s="833"/>
      <c r="O85" s="833"/>
      <c r="P85" s="834"/>
      <c r="Q85" s="834"/>
      <c r="R85" s="833"/>
      <c r="S85" s="833"/>
    </row>
    <row r="86" spans="2:19" ht="25.5" customHeight="1" x14ac:dyDescent="0.2">
      <c r="B86" s="848"/>
      <c r="C86" s="833"/>
      <c r="D86" s="833"/>
      <c r="E86" s="833" t="s">
        <v>202</v>
      </c>
      <c r="F86" s="833"/>
      <c r="G86" s="833"/>
      <c r="H86" s="833"/>
      <c r="I86" s="833"/>
      <c r="J86" s="833"/>
      <c r="K86" s="833"/>
      <c r="L86" s="833"/>
      <c r="M86" s="833"/>
      <c r="N86" s="833"/>
      <c r="O86" s="833"/>
      <c r="P86" s="834"/>
      <c r="Q86" s="834"/>
      <c r="R86" s="833"/>
      <c r="S86" s="833"/>
    </row>
    <row r="87" spans="2:19" ht="28.5" customHeight="1" x14ac:dyDescent="0.2">
      <c r="B87" s="848"/>
      <c r="C87" s="833"/>
      <c r="D87" s="833"/>
      <c r="E87" s="833" t="s">
        <v>203</v>
      </c>
      <c r="F87" s="833"/>
      <c r="G87" s="833"/>
      <c r="H87" s="833"/>
      <c r="I87" s="833"/>
      <c r="J87" s="833"/>
      <c r="K87" s="833"/>
      <c r="L87" s="833"/>
      <c r="M87" s="833"/>
      <c r="N87" s="833"/>
      <c r="O87" s="833"/>
      <c r="P87" s="834"/>
      <c r="Q87" s="834"/>
      <c r="R87" s="833"/>
      <c r="S87" s="833"/>
    </row>
    <row r="88" spans="2:19" ht="23.25" customHeight="1" x14ac:dyDescent="0.2">
      <c r="B88" s="848"/>
      <c r="C88" s="833"/>
      <c r="D88" s="833"/>
      <c r="E88" s="833" t="s">
        <v>204</v>
      </c>
      <c r="F88" s="833"/>
      <c r="G88" s="833"/>
      <c r="H88" s="833"/>
      <c r="I88" s="833"/>
      <c r="J88" s="833"/>
      <c r="K88" s="833"/>
      <c r="L88" s="833"/>
      <c r="M88" s="833"/>
      <c r="N88" s="833"/>
      <c r="O88" s="833"/>
      <c r="P88" s="834"/>
      <c r="Q88" s="834"/>
      <c r="R88" s="833"/>
      <c r="S88" s="833"/>
    </row>
    <row r="89" spans="2:19" ht="24" customHeight="1" x14ac:dyDescent="0.2">
      <c r="B89" s="848"/>
      <c r="C89" s="833"/>
      <c r="D89" s="833"/>
      <c r="E89" s="833" t="s">
        <v>205</v>
      </c>
      <c r="F89" s="833"/>
      <c r="G89" s="833"/>
      <c r="H89" s="833"/>
      <c r="I89" s="833"/>
      <c r="J89" s="833"/>
      <c r="K89" s="833"/>
      <c r="L89" s="833"/>
      <c r="M89" s="833"/>
      <c r="N89" s="833"/>
      <c r="O89" s="833"/>
      <c r="P89" s="834"/>
      <c r="Q89" s="834"/>
      <c r="R89" s="833"/>
      <c r="S89" s="833"/>
    </row>
    <row r="90" spans="2:19" ht="34.5" customHeight="1" thickBot="1" x14ac:dyDescent="0.25">
      <c r="B90" s="849"/>
      <c r="C90" s="839"/>
      <c r="D90" s="839"/>
      <c r="E90" s="839" t="s">
        <v>206</v>
      </c>
      <c r="F90" s="839"/>
      <c r="G90" s="839"/>
      <c r="H90" s="839"/>
      <c r="I90" s="839"/>
      <c r="J90" s="839"/>
      <c r="K90" s="839"/>
      <c r="L90" s="839"/>
      <c r="M90" s="839"/>
      <c r="N90" s="839"/>
      <c r="O90" s="856"/>
      <c r="P90" s="835"/>
      <c r="Q90" s="835"/>
      <c r="R90" s="839"/>
      <c r="S90" s="839"/>
    </row>
    <row r="91" spans="2:19" ht="49.5" customHeight="1" thickBot="1" x14ac:dyDescent="0.25">
      <c r="B91" s="216"/>
      <c r="C91" s="850" t="s">
        <v>896</v>
      </c>
      <c r="D91" s="850"/>
      <c r="E91" s="842" t="s">
        <v>207</v>
      </c>
      <c r="F91" s="842"/>
      <c r="G91" s="217" t="s">
        <v>179</v>
      </c>
      <c r="H91" s="217" t="s">
        <v>180</v>
      </c>
      <c r="I91" s="842" t="s">
        <v>181</v>
      </c>
      <c r="J91" s="842"/>
      <c r="K91" s="842" t="s">
        <v>182</v>
      </c>
      <c r="L91" s="842"/>
      <c r="M91" s="218">
        <v>0.67649999999999999</v>
      </c>
      <c r="N91" s="218">
        <v>0.58823529411764708</v>
      </c>
      <c r="O91" s="433">
        <f>18/35</f>
        <v>0.51428571428571423</v>
      </c>
      <c r="P91" s="433">
        <f>11/32</f>
        <v>0.34375</v>
      </c>
      <c r="Q91" s="433">
        <v>0.5484</v>
      </c>
      <c r="R91" s="219"/>
      <c r="S91" s="220"/>
    </row>
    <row r="92" spans="2:19" ht="33.75" customHeight="1" x14ac:dyDescent="0.2">
      <c r="B92" s="213"/>
      <c r="C92" s="798" t="s">
        <v>897</v>
      </c>
      <c r="D92" s="798"/>
      <c r="E92" s="833" t="s">
        <v>208</v>
      </c>
      <c r="F92" s="833"/>
      <c r="G92" s="212" t="s">
        <v>179</v>
      </c>
      <c r="H92" s="212" t="s">
        <v>180</v>
      </c>
      <c r="I92" s="833" t="s">
        <v>181</v>
      </c>
      <c r="J92" s="833"/>
      <c r="K92" s="833" t="s">
        <v>182</v>
      </c>
      <c r="L92" s="833"/>
      <c r="M92" s="213" t="s">
        <v>52</v>
      </c>
      <c r="N92" s="445">
        <v>0.875</v>
      </c>
      <c r="O92" s="445">
        <f>4/7</f>
        <v>0.5714285714285714</v>
      </c>
      <c r="P92" s="445" t="s">
        <v>52</v>
      </c>
      <c r="Q92" s="445" t="s">
        <v>52</v>
      </c>
      <c r="R92" s="215"/>
    </row>
    <row r="93" spans="2:19" x14ac:dyDescent="0.2">
      <c r="B93" s="851" t="s">
        <v>209</v>
      </c>
      <c r="C93" s="851"/>
      <c r="D93" s="851"/>
      <c r="E93" s="851"/>
      <c r="F93" s="832"/>
      <c r="G93" s="832"/>
      <c r="H93" s="832"/>
      <c r="I93" s="832"/>
      <c r="J93" s="227"/>
      <c r="K93" s="852"/>
      <c r="L93" s="852"/>
      <c r="M93" s="832"/>
      <c r="N93" s="832"/>
      <c r="O93" s="832"/>
      <c r="P93" s="832"/>
      <c r="Q93" s="832"/>
      <c r="R93" s="832"/>
      <c r="S93" s="832"/>
    </row>
    <row r="94" spans="2:19" x14ac:dyDescent="0.2">
      <c r="B94" s="853"/>
      <c r="C94" s="798" t="s">
        <v>210</v>
      </c>
      <c r="D94" s="798"/>
      <c r="E94" s="833" t="s">
        <v>178</v>
      </c>
      <c r="F94" s="833"/>
      <c r="G94" s="833" t="s">
        <v>179</v>
      </c>
      <c r="H94" s="833" t="s">
        <v>180</v>
      </c>
      <c r="I94" s="833" t="s">
        <v>181</v>
      </c>
      <c r="J94" s="833"/>
      <c r="K94" s="833" t="s">
        <v>182</v>
      </c>
      <c r="L94" s="833"/>
      <c r="M94" s="836">
        <v>0.45829999999999999</v>
      </c>
      <c r="N94" s="836">
        <v>0.1666</v>
      </c>
      <c r="O94" s="836">
        <f>25/57</f>
        <v>0.43859649122807015</v>
      </c>
      <c r="P94" s="836">
        <v>0</v>
      </c>
      <c r="Q94" s="836">
        <v>0.33329999999999999</v>
      </c>
      <c r="R94" s="833"/>
      <c r="S94" s="833"/>
    </row>
    <row r="95" spans="2:19" ht="36" customHeight="1" thickBot="1" x14ac:dyDescent="0.25">
      <c r="B95" s="854"/>
      <c r="C95" s="800"/>
      <c r="D95" s="800"/>
      <c r="E95" s="839" t="s">
        <v>186</v>
      </c>
      <c r="F95" s="839"/>
      <c r="G95" s="839"/>
      <c r="H95" s="839"/>
      <c r="I95" s="839"/>
      <c r="J95" s="839"/>
      <c r="K95" s="839"/>
      <c r="L95" s="839"/>
      <c r="M95" s="857"/>
      <c r="N95" s="857"/>
      <c r="O95" s="837"/>
      <c r="P95" s="835"/>
      <c r="Q95" s="835"/>
      <c r="R95" s="839"/>
      <c r="S95" s="839"/>
    </row>
    <row r="96" spans="2:19" x14ac:dyDescent="0.2">
      <c r="B96" s="848"/>
      <c r="C96" s="833" t="s">
        <v>898</v>
      </c>
      <c r="D96" s="833"/>
      <c r="E96" s="833" t="s">
        <v>211</v>
      </c>
      <c r="F96" s="833"/>
      <c r="G96" s="833" t="s">
        <v>179</v>
      </c>
      <c r="H96" s="833" t="s">
        <v>180</v>
      </c>
      <c r="I96" s="833" t="s">
        <v>181</v>
      </c>
      <c r="J96" s="833"/>
      <c r="K96" s="833" t="s">
        <v>663</v>
      </c>
      <c r="L96" s="833"/>
      <c r="M96" s="858">
        <v>0.34799999999999998</v>
      </c>
      <c r="N96" s="858">
        <v>0.32300000000000001</v>
      </c>
      <c r="O96" s="838">
        <v>0.4</v>
      </c>
      <c r="P96" s="836" t="s">
        <v>52</v>
      </c>
      <c r="Q96" s="836">
        <v>0.41799999999999998</v>
      </c>
      <c r="R96" s="833" t="s">
        <v>183</v>
      </c>
      <c r="S96" s="833"/>
    </row>
    <row r="97" spans="2:19" x14ac:dyDescent="0.2">
      <c r="B97" s="848"/>
      <c r="C97" s="833"/>
      <c r="D97" s="833"/>
      <c r="E97" s="833" t="s">
        <v>178</v>
      </c>
      <c r="F97" s="833"/>
      <c r="G97" s="833"/>
      <c r="H97" s="833"/>
      <c r="I97" s="833"/>
      <c r="J97" s="833"/>
      <c r="K97" s="833"/>
      <c r="L97" s="833"/>
      <c r="M97" s="836"/>
      <c r="N97" s="836"/>
      <c r="O97" s="836"/>
      <c r="P97" s="834"/>
      <c r="Q97" s="834"/>
      <c r="R97" s="833" t="s">
        <v>184</v>
      </c>
      <c r="S97" s="833"/>
    </row>
    <row r="98" spans="2:19" x14ac:dyDescent="0.2">
      <c r="B98" s="848"/>
      <c r="C98" s="833"/>
      <c r="D98" s="833"/>
      <c r="E98" s="833" t="s">
        <v>186</v>
      </c>
      <c r="F98" s="833"/>
      <c r="G98" s="833"/>
      <c r="H98" s="833"/>
      <c r="I98" s="833"/>
      <c r="J98" s="833"/>
      <c r="K98" s="833"/>
      <c r="L98" s="833"/>
      <c r="M98" s="836"/>
      <c r="N98" s="836"/>
      <c r="O98" s="836"/>
      <c r="P98" s="834"/>
      <c r="Q98" s="834"/>
      <c r="R98" s="833" t="s">
        <v>192</v>
      </c>
      <c r="S98" s="833"/>
    </row>
    <row r="99" spans="2:19" x14ac:dyDescent="0.2">
      <c r="B99" s="848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6"/>
      <c r="N99" s="836"/>
      <c r="O99" s="836"/>
      <c r="P99" s="834"/>
      <c r="Q99" s="834"/>
      <c r="R99" s="833" t="s">
        <v>185</v>
      </c>
      <c r="S99" s="833"/>
    </row>
    <row r="100" spans="2:19" ht="16" thickBot="1" x14ac:dyDescent="0.25">
      <c r="B100" s="849"/>
      <c r="C100" s="839"/>
      <c r="D100" s="839"/>
      <c r="E100" s="839"/>
      <c r="F100" s="839"/>
      <c r="G100" s="839"/>
      <c r="H100" s="839"/>
      <c r="I100" s="839"/>
      <c r="J100" s="839"/>
      <c r="K100" s="839"/>
      <c r="L100" s="839"/>
      <c r="M100" s="857"/>
      <c r="N100" s="857"/>
      <c r="O100" s="837"/>
      <c r="P100" s="835"/>
      <c r="Q100" s="835"/>
      <c r="R100" s="839" t="s">
        <v>187</v>
      </c>
      <c r="S100" s="839"/>
    </row>
    <row r="101" spans="2:19" x14ac:dyDescent="0.2">
      <c r="B101" s="848"/>
      <c r="C101" s="833" t="s">
        <v>899</v>
      </c>
      <c r="D101" s="833"/>
      <c r="E101" s="833" t="s">
        <v>212</v>
      </c>
      <c r="F101" s="833"/>
      <c r="G101" s="833" t="s">
        <v>179</v>
      </c>
      <c r="H101" s="833" t="s">
        <v>180</v>
      </c>
      <c r="I101" s="833" t="s">
        <v>213</v>
      </c>
      <c r="J101" s="833"/>
      <c r="K101" s="833" t="s">
        <v>663</v>
      </c>
      <c r="L101" s="833"/>
      <c r="M101" s="844" t="s">
        <v>52</v>
      </c>
      <c r="N101" s="858">
        <v>0.24</v>
      </c>
      <c r="O101" s="838" t="s">
        <v>52</v>
      </c>
      <c r="P101" s="836" t="s">
        <v>52</v>
      </c>
      <c r="Q101" s="836">
        <v>0.41799999999999998</v>
      </c>
      <c r="R101" s="833" t="s">
        <v>187</v>
      </c>
      <c r="S101" s="833"/>
    </row>
    <row r="102" spans="2:19" ht="30.75" customHeight="1" thickBot="1" x14ac:dyDescent="0.25">
      <c r="B102" s="849"/>
      <c r="C102" s="839"/>
      <c r="D102" s="839"/>
      <c r="E102" s="839" t="s">
        <v>214</v>
      </c>
      <c r="F102" s="839"/>
      <c r="G102" s="839"/>
      <c r="H102" s="839"/>
      <c r="I102" s="839"/>
      <c r="J102" s="839"/>
      <c r="K102" s="839"/>
      <c r="L102" s="839"/>
      <c r="M102" s="849"/>
      <c r="N102" s="857"/>
      <c r="O102" s="837"/>
      <c r="P102" s="835"/>
      <c r="Q102" s="835"/>
      <c r="R102" s="839"/>
      <c r="S102" s="839"/>
    </row>
    <row r="103" spans="2:19" x14ac:dyDescent="0.2">
      <c r="B103" s="844"/>
      <c r="C103" s="843" t="s">
        <v>900</v>
      </c>
      <c r="D103" s="843"/>
      <c r="E103" s="840" t="s">
        <v>212</v>
      </c>
      <c r="F103" s="840"/>
      <c r="G103" s="840" t="s">
        <v>179</v>
      </c>
      <c r="H103" s="840" t="s">
        <v>215</v>
      </c>
      <c r="I103" s="844" t="s">
        <v>52</v>
      </c>
      <c r="J103" s="844"/>
      <c r="K103" s="840" t="s">
        <v>182</v>
      </c>
      <c r="L103" s="840"/>
      <c r="M103" s="844" t="s">
        <v>52</v>
      </c>
      <c r="N103" s="844" t="s">
        <v>52</v>
      </c>
      <c r="O103" s="829" t="s">
        <v>52</v>
      </c>
      <c r="P103" s="829" t="s">
        <v>52</v>
      </c>
      <c r="Q103" s="829" t="s">
        <v>52</v>
      </c>
      <c r="R103" s="840"/>
      <c r="S103" s="840"/>
    </row>
    <row r="104" spans="2:19" ht="30.75" customHeight="1" thickBot="1" x14ac:dyDescent="0.25">
      <c r="B104" s="845"/>
      <c r="C104" s="819"/>
      <c r="D104" s="819"/>
      <c r="E104" s="819" t="s">
        <v>214</v>
      </c>
      <c r="F104" s="819"/>
      <c r="G104" s="841"/>
      <c r="H104" s="841"/>
      <c r="I104" s="845"/>
      <c r="J104" s="845"/>
      <c r="K104" s="841"/>
      <c r="L104" s="841"/>
      <c r="M104" s="845"/>
      <c r="N104" s="845"/>
      <c r="O104" s="860"/>
      <c r="P104" s="830"/>
      <c r="Q104" s="830"/>
      <c r="R104" s="841"/>
      <c r="S104" s="841"/>
    </row>
    <row r="106" spans="2:19" x14ac:dyDescent="0.2">
      <c r="B106" s="36" t="s">
        <v>216</v>
      </c>
    </row>
    <row r="107" spans="2:19" x14ac:dyDescent="0.2">
      <c r="B107" s="36" t="s">
        <v>217</v>
      </c>
    </row>
    <row r="108" spans="2:19" x14ac:dyDescent="0.2">
      <c r="B108" s="36" t="s">
        <v>218</v>
      </c>
    </row>
  </sheetData>
  <mergeCells count="396">
    <mergeCell ref="O103:O104"/>
    <mergeCell ref="N103:N104"/>
    <mergeCell ref="M103:M104"/>
    <mergeCell ref="O82:O90"/>
    <mergeCell ref="N82:N90"/>
    <mergeCell ref="M82:M90"/>
    <mergeCell ref="O94:O95"/>
    <mergeCell ref="N94:N95"/>
    <mergeCell ref="M94:M95"/>
    <mergeCell ref="O101:O102"/>
    <mergeCell ref="N101:N102"/>
    <mergeCell ref="M101:M102"/>
    <mergeCell ref="O96:O100"/>
    <mergeCell ref="N96:N100"/>
    <mergeCell ref="M96:M100"/>
    <mergeCell ref="O73:O76"/>
    <mergeCell ref="N73:N76"/>
    <mergeCell ref="M73:M76"/>
    <mergeCell ref="O68:O71"/>
    <mergeCell ref="N68:N71"/>
    <mergeCell ref="M68:M71"/>
    <mergeCell ref="O64:O67"/>
    <mergeCell ref="N64:N67"/>
    <mergeCell ref="M64:M67"/>
    <mergeCell ref="N49:N53"/>
    <mergeCell ref="M49:M53"/>
    <mergeCell ref="O47:O48"/>
    <mergeCell ref="N47:N48"/>
    <mergeCell ref="O56:O57"/>
    <mergeCell ref="N56:N57"/>
    <mergeCell ref="M56:M57"/>
    <mergeCell ref="O54:O55"/>
    <mergeCell ref="M54:M55"/>
    <mergeCell ref="O17:O20"/>
    <mergeCell ref="N17:N20"/>
    <mergeCell ref="M17:M20"/>
    <mergeCell ref="M21:M24"/>
    <mergeCell ref="N21:N24"/>
    <mergeCell ref="O21:O24"/>
    <mergeCell ref="M26:M29"/>
    <mergeCell ref="N26:N29"/>
    <mergeCell ref="O26:O29"/>
    <mergeCell ref="I17:J20"/>
    <mergeCell ref="I21:J24"/>
    <mergeCell ref="K17:L20"/>
    <mergeCell ref="E17:F19"/>
    <mergeCell ref="E20:F20"/>
    <mergeCell ref="K35:L43"/>
    <mergeCell ref="I35:J43"/>
    <mergeCell ref="E25:F25"/>
    <mergeCell ref="E26:F28"/>
    <mergeCell ref="E29:F29"/>
    <mergeCell ref="E33:F33"/>
    <mergeCell ref="E32:F32"/>
    <mergeCell ref="E31:F31"/>
    <mergeCell ref="E30:F30"/>
    <mergeCell ref="H26:H29"/>
    <mergeCell ref="I31:J31"/>
    <mergeCell ref="I30:J30"/>
    <mergeCell ref="I26:J29"/>
    <mergeCell ref="I25:J25"/>
    <mergeCell ref="I33:J33"/>
    <mergeCell ref="K21:L24"/>
    <mergeCell ref="H35:H43"/>
    <mergeCell ref="B21:B24"/>
    <mergeCell ref="G21:G24"/>
    <mergeCell ref="H21:H24"/>
    <mergeCell ref="B17:B20"/>
    <mergeCell ref="G17:G20"/>
    <mergeCell ref="H17:H20"/>
    <mergeCell ref="C21:D24"/>
    <mergeCell ref="C17:D20"/>
    <mergeCell ref="E21:F23"/>
    <mergeCell ref="E24:F24"/>
    <mergeCell ref="C35:D43"/>
    <mergeCell ref="E43:F43"/>
    <mergeCell ref="E42:F42"/>
    <mergeCell ref="E41:F41"/>
    <mergeCell ref="E40:F40"/>
    <mergeCell ref="E39:F39"/>
    <mergeCell ref="E38:F38"/>
    <mergeCell ref="E37:F37"/>
    <mergeCell ref="E36:F36"/>
    <mergeCell ref="E35:F35"/>
    <mergeCell ref="B61:B62"/>
    <mergeCell ref="G61:G62"/>
    <mergeCell ref="H61:H62"/>
    <mergeCell ref="B56:B57"/>
    <mergeCell ref="G56:G57"/>
    <mergeCell ref="C61:D62"/>
    <mergeCell ref="E61:F62"/>
    <mergeCell ref="I61:J62"/>
    <mergeCell ref="K61:L62"/>
    <mergeCell ref="E57:F57"/>
    <mergeCell ref="E56:F56"/>
    <mergeCell ref="I56:J57"/>
    <mergeCell ref="C56:D57"/>
    <mergeCell ref="H56:H57"/>
    <mergeCell ref="B64:B67"/>
    <mergeCell ref="G64:G67"/>
    <mergeCell ref="H64:H67"/>
    <mergeCell ref="B82:B90"/>
    <mergeCell ref="G82:G90"/>
    <mergeCell ref="H82:H90"/>
    <mergeCell ref="C77:D77"/>
    <mergeCell ref="E77:F77"/>
    <mergeCell ref="I77:J77"/>
    <mergeCell ref="C82:D90"/>
    <mergeCell ref="E82:F82"/>
    <mergeCell ref="B73:B76"/>
    <mergeCell ref="G73:G76"/>
    <mergeCell ref="H73:H76"/>
    <mergeCell ref="E79:F79"/>
    <mergeCell ref="I79:J79"/>
    <mergeCell ref="C72:D72"/>
    <mergeCell ref="E72:F72"/>
    <mergeCell ref="I72:J72"/>
    <mergeCell ref="I82:J90"/>
    <mergeCell ref="H103:H104"/>
    <mergeCell ref="C96:D100"/>
    <mergeCell ref="E96:F96"/>
    <mergeCell ref="I96:J100"/>
    <mergeCell ref="K96:L100"/>
    <mergeCell ref="R68:S68"/>
    <mergeCell ref="B103:B104"/>
    <mergeCell ref="E98:F100"/>
    <mergeCell ref="G103:G104"/>
    <mergeCell ref="K79:L79"/>
    <mergeCell ref="R79:S79"/>
    <mergeCell ref="B68:B71"/>
    <mergeCell ref="G68:G71"/>
    <mergeCell ref="H68:H71"/>
    <mergeCell ref="C68:D71"/>
    <mergeCell ref="E68:F70"/>
    <mergeCell ref="I68:J71"/>
    <mergeCell ref="K68:L71"/>
    <mergeCell ref="E71:F71"/>
    <mergeCell ref="K77:L77"/>
    <mergeCell ref="C78:D78"/>
    <mergeCell ref="E78:F78"/>
    <mergeCell ref="I78:J78"/>
    <mergeCell ref="K78:L78"/>
    <mergeCell ref="H96:H100"/>
    <mergeCell ref="C101:D102"/>
    <mergeCell ref="E101:F101"/>
    <mergeCell ref="I101:J102"/>
    <mergeCell ref="K101:L102"/>
    <mergeCell ref="C79:D79"/>
    <mergeCell ref="R77:S77"/>
    <mergeCell ref="R61:S62"/>
    <mergeCell ref="G49:G53"/>
    <mergeCell ref="H49:H53"/>
    <mergeCell ref="R52:S52"/>
    <mergeCell ref="R51:S51"/>
    <mergeCell ref="M61:Q61"/>
    <mergeCell ref="P49:P53"/>
    <mergeCell ref="P54:P55"/>
    <mergeCell ref="P56:P57"/>
    <mergeCell ref="K56:L57"/>
    <mergeCell ref="K54:L55"/>
    <mergeCell ref="K49:L53"/>
    <mergeCell ref="K72:L72"/>
    <mergeCell ref="R72:S72"/>
    <mergeCell ref="C73:D76"/>
    <mergeCell ref="E73:F75"/>
    <mergeCell ref="I73:J76"/>
    <mergeCell ref="R14:S15"/>
    <mergeCell ref="O13:S13"/>
    <mergeCell ref="B16:C16"/>
    <mergeCell ref="D16:E16"/>
    <mergeCell ref="F16:G16"/>
    <mergeCell ref="H16:I16"/>
    <mergeCell ref="K16:L16"/>
    <mergeCell ref="C14:D15"/>
    <mergeCell ref="E14:F15"/>
    <mergeCell ref="K14:L15"/>
    <mergeCell ref="M13:N13"/>
    <mergeCell ref="I14:J15"/>
    <mergeCell ref="B14:B15"/>
    <mergeCell ref="G14:G15"/>
    <mergeCell ref="H14:H15"/>
    <mergeCell ref="B13:C13"/>
    <mergeCell ref="D13:E13"/>
    <mergeCell ref="F13:G13"/>
    <mergeCell ref="H13:I13"/>
    <mergeCell ref="K13:L13"/>
    <mergeCell ref="C25:D25"/>
    <mergeCell ref="G54:G55"/>
    <mergeCell ref="H54:H55"/>
    <mergeCell ref="C44:D44"/>
    <mergeCell ref="C45:D45"/>
    <mergeCell ref="B46:E46"/>
    <mergeCell ref="F46:I46"/>
    <mergeCell ref="K46:L46"/>
    <mergeCell ref="C47:D48"/>
    <mergeCell ref="C49:D53"/>
    <mergeCell ref="C54:D55"/>
    <mergeCell ref="E47:F47"/>
    <mergeCell ref="E50:F50"/>
    <mergeCell ref="E49:F49"/>
    <mergeCell ref="E51:F53"/>
    <mergeCell ref="E55:F55"/>
    <mergeCell ref="C32:D32"/>
    <mergeCell ref="C31:D31"/>
    <mergeCell ref="C30:D30"/>
    <mergeCell ref="C26:D29"/>
    <mergeCell ref="B34:E34"/>
    <mergeCell ref="F34:G34"/>
    <mergeCell ref="K33:L33"/>
    <mergeCell ref="K32:L32"/>
    <mergeCell ref="B26:B29"/>
    <mergeCell ref="G26:G29"/>
    <mergeCell ref="E54:F54"/>
    <mergeCell ref="B54:B55"/>
    <mergeCell ref="B49:B53"/>
    <mergeCell ref="E44:F44"/>
    <mergeCell ref="E45:F45"/>
    <mergeCell ref="E48:F48"/>
    <mergeCell ref="K45:L45"/>
    <mergeCell ref="K44:L44"/>
    <mergeCell ref="I54:J55"/>
    <mergeCell ref="I45:J45"/>
    <mergeCell ref="I44:J44"/>
    <mergeCell ref="B47:B48"/>
    <mergeCell ref="G47:G48"/>
    <mergeCell ref="H47:H48"/>
    <mergeCell ref="I49:J53"/>
    <mergeCell ref="I47:J48"/>
    <mergeCell ref="K31:L31"/>
    <mergeCell ref="K30:L30"/>
    <mergeCell ref="K26:L29"/>
    <mergeCell ref="C33:D33"/>
    <mergeCell ref="B35:B43"/>
    <mergeCell ref="G35:G43"/>
    <mergeCell ref="K47:L48"/>
    <mergeCell ref="R30:S30"/>
    <mergeCell ref="R29:S29"/>
    <mergeCell ref="R27:S27"/>
    <mergeCell ref="R28:S28"/>
    <mergeCell ref="R50:S50"/>
    <mergeCell ref="R49:S49"/>
    <mergeCell ref="R47:S48"/>
    <mergeCell ref="R54:S55"/>
    <mergeCell ref="R53:S53"/>
    <mergeCell ref="M34:S34"/>
    <mergeCell ref="P26:P29"/>
    <mergeCell ref="P35:P43"/>
    <mergeCell ref="P47:P48"/>
    <mergeCell ref="M46:S46"/>
    <mergeCell ref="R26:S26"/>
    <mergeCell ref="R44:S44"/>
    <mergeCell ref="R45:S45"/>
    <mergeCell ref="M35:M43"/>
    <mergeCell ref="N35:N43"/>
    <mergeCell ref="O35:O43"/>
    <mergeCell ref="M47:M48"/>
    <mergeCell ref="N54:N55"/>
    <mergeCell ref="O49:O53"/>
    <mergeCell ref="R25:S25"/>
    <mergeCell ref="R33:S33"/>
    <mergeCell ref="R32:S32"/>
    <mergeCell ref="R31:S31"/>
    <mergeCell ref="R35:S43"/>
    <mergeCell ref="K34:L34"/>
    <mergeCell ref="R24:S24"/>
    <mergeCell ref="R23:S23"/>
    <mergeCell ref="R22:S22"/>
    <mergeCell ref="R21:S21"/>
    <mergeCell ref="R19:S19"/>
    <mergeCell ref="R20:S20"/>
    <mergeCell ref="R18:S18"/>
    <mergeCell ref="R17:S17"/>
    <mergeCell ref="P17:P20"/>
    <mergeCell ref="P21:P24"/>
    <mergeCell ref="C64:D67"/>
    <mergeCell ref="E64:F66"/>
    <mergeCell ref="I64:J67"/>
    <mergeCell ref="K64:L67"/>
    <mergeCell ref="R64:S64"/>
    <mergeCell ref="R65:S65"/>
    <mergeCell ref="R66:S66"/>
    <mergeCell ref="E67:F67"/>
    <mergeCell ref="R67:S67"/>
    <mergeCell ref="B63:C63"/>
    <mergeCell ref="D63:E63"/>
    <mergeCell ref="F63:G63"/>
    <mergeCell ref="H63:I63"/>
    <mergeCell ref="K63:L63"/>
    <mergeCell ref="I32:J32"/>
    <mergeCell ref="H34:I34"/>
    <mergeCell ref="K25:L25"/>
    <mergeCell ref="K73:L76"/>
    <mergeCell ref="R73:S73"/>
    <mergeCell ref="R74:S74"/>
    <mergeCell ref="R75:S75"/>
    <mergeCell ref="E76:F76"/>
    <mergeCell ref="R76:S76"/>
    <mergeCell ref="P73:P76"/>
    <mergeCell ref="K82:L90"/>
    <mergeCell ref="B81:E81"/>
    <mergeCell ref="F81:G81"/>
    <mergeCell ref="H81:I81"/>
    <mergeCell ref="K81:L81"/>
    <mergeCell ref="C80:D80"/>
    <mergeCell ref="E80:F80"/>
    <mergeCell ref="I80:J80"/>
    <mergeCell ref="K80:L80"/>
    <mergeCell ref="E83:F83"/>
    <mergeCell ref="E84:F84"/>
    <mergeCell ref="E85:F85"/>
    <mergeCell ref="E86:F86"/>
    <mergeCell ref="E87:F87"/>
    <mergeCell ref="E88:F88"/>
    <mergeCell ref="E89:F89"/>
    <mergeCell ref="E90:F90"/>
    <mergeCell ref="H94:H95"/>
    <mergeCell ref="C94:D95"/>
    <mergeCell ref="E94:F94"/>
    <mergeCell ref="I94:J95"/>
    <mergeCell ref="B94:B95"/>
    <mergeCell ref="G94:G95"/>
    <mergeCell ref="H101:H102"/>
    <mergeCell ref="R96:S96"/>
    <mergeCell ref="R97:S97"/>
    <mergeCell ref="R94:S95"/>
    <mergeCell ref="E95:F95"/>
    <mergeCell ref="R98:S98"/>
    <mergeCell ref="R99:S99"/>
    <mergeCell ref="R100:S100"/>
    <mergeCell ref="K94:L95"/>
    <mergeCell ref="P101:P102"/>
    <mergeCell ref="E97:F97"/>
    <mergeCell ref="B96:B100"/>
    <mergeCell ref="Q94:Q95"/>
    <mergeCell ref="Q96:Q100"/>
    <mergeCell ref="P94:P95"/>
    <mergeCell ref="P96:P100"/>
    <mergeCell ref="Q101:Q102"/>
    <mergeCell ref="G96:G100"/>
    <mergeCell ref="I91:J91"/>
    <mergeCell ref="K91:L91"/>
    <mergeCell ref="C92:D92"/>
    <mergeCell ref="E92:F92"/>
    <mergeCell ref="I92:J92"/>
    <mergeCell ref="K92:L92"/>
    <mergeCell ref="B93:E93"/>
    <mergeCell ref="F93:I93"/>
    <mergeCell ref="K93:L93"/>
    <mergeCell ref="Q17:Q20"/>
    <mergeCell ref="Q21:Q24"/>
    <mergeCell ref="Q26:Q29"/>
    <mergeCell ref="M14:Q14"/>
    <mergeCell ref="M16:S16"/>
    <mergeCell ref="C103:D104"/>
    <mergeCell ref="E103:F103"/>
    <mergeCell ref="I103:J104"/>
    <mergeCell ref="K103:L104"/>
    <mergeCell ref="R103:S104"/>
    <mergeCell ref="E104:F104"/>
    <mergeCell ref="B60:C60"/>
    <mergeCell ref="D60:E60"/>
    <mergeCell ref="F60:G60"/>
    <mergeCell ref="H60:I60"/>
    <mergeCell ref="K60:L60"/>
    <mergeCell ref="M60:N60"/>
    <mergeCell ref="O60:S60"/>
    <mergeCell ref="B101:B102"/>
    <mergeCell ref="G101:G102"/>
    <mergeCell ref="R101:S102"/>
    <mergeCell ref="E102:F102"/>
    <mergeCell ref="C91:D91"/>
    <mergeCell ref="E91:F91"/>
    <mergeCell ref="Q103:Q104"/>
    <mergeCell ref="M63:S63"/>
    <mergeCell ref="M93:S93"/>
    <mergeCell ref="Q35:Q43"/>
    <mergeCell ref="Q47:Q48"/>
    <mergeCell ref="Q49:Q53"/>
    <mergeCell ref="Q54:Q55"/>
    <mergeCell ref="Q56:Q57"/>
    <mergeCell ref="Q64:Q67"/>
    <mergeCell ref="Q68:Q71"/>
    <mergeCell ref="Q73:Q76"/>
    <mergeCell ref="Q82:Q90"/>
    <mergeCell ref="R80:S80"/>
    <mergeCell ref="R82:S90"/>
    <mergeCell ref="R71:S71"/>
    <mergeCell ref="P103:P104"/>
    <mergeCell ref="P64:P67"/>
    <mergeCell ref="P68:P71"/>
    <mergeCell ref="P82:P90"/>
    <mergeCell ref="R56:S57"/>
    <mergeCell ref="R69:S69"/>
    <mergeCell ref="R70:S70"/>
    <mergeCell ref="M81:S81"/>
    <mergeCell ref="R78:S7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AC325"/>
  <sheetViews>
    <sheetView zoomScaleNormal="100" workbookViewId="0">
      <selection activeCell="I4" sqref="I4"/>
    </sheetView>
  </sheetViews>
  <sheetFormatPr baseColWidth="10" defaultColWidth="11.5" defaultRowHeight="15" x14ac:dyDescent="0.2"/>
  <cols>
    <col min="4" max="10" width="11.5" customWidth="1"/>
    <col min="12" max="12" width="11.5" customWidth="1"/>
    <col min="13" max="14" width="11.6640625" customWidth="1"/>
    <col min="15" max="15" width="11.5" customWidth="1"/>
    <col min="16" max="16" width="12" customWidth="1"/>
    <col min="17" max="18" width="11.5" customWidth="1"/>
    <col min="19" max="19" width="11.5" style="651" customWidth="1"/>
    <col min="20" max="20" width="32.83203125" style="651" customWidth="1"/>
  </cols>
  <sheetData>
    <row r="7" spans="2:11" ht="18" x14ac:dyDescent="0.2">
      <c r="B7" s="1" t="s">
        <v>0</v>
      </c>
      <c r="K7" s="1"/>
    </row>
    <row r="9" spans="2:11" ht="18" x14ac:dyDescent="0.2">
      <c r="B9" s="484" t="s">
        <v>669</v>
      </c>
    </row>
    <row r="10" spans="2:11" ht="18" x14ac:dyDescent="0.2">
      <c r="B10" s="1"/>
    </row>
    <row r="11" spans="2:11" ht="18" x14ac:dyDescent="0.2">
      <c r="B11" s="1"/>
    </row>
    <row r="12" spans="2:11" x14ac:dyDescent="0.2">
      <c r="B12" s="178" t="s">
        <v>819</v>
      </c>
    </row>
    <row r="14" spans="2:11" x14ac:dyDescent="0.2">
      <c r="B14" s="900" t="s">
        <v>820</v>
      </c>
      <c r="C14" s="900"/>
      <c r="D14" s="900"/>
      <c r="E14" s="900"/>
      <c r="F14" s="900"/>
      <c r="G14" s="43" t="s">
        <v>930</v>
      </c>
    </row>
    <row r="15" spans="2:11" ht="33.75" customHeight="1" x14ac:dyDescent="0.2">
      <c r="B15" s="734" t="s">
        <v>2</v>
      </c>
      <c r="C15" s="734"/>
      <c r="D15" s="26" t="s">
        <v>251</v>
      </c>
      <c r="E15" s="26" t="s">
        <v>219</v>
      </c>
      <c r="F15" s="26" t="s">
        <v>220</v>
      </c>
      <c r="G15" s="26" t="s">
        <v>221</v>
      </c>
      <c r="H15" s="26" t="s">
        <v>222</v>
      </c>
      <c r="I15" s="26" t="s">
        <v>223</v>
      </c>
    </row>
    <row r="16" spans="2:11" ht="15" customHeight="1" thickBot="1" x14ac:dyDescent="0.25">
      <c r="B16" s="960" t="s">
        <v>7</v>
      </c>
      <c r="C16" s="960"/>
      <c r="D16" s="173" t="s">
        <v>544</v>
      </c>
      <c r="E16" s="209">
        <v>28</v>
      </c>
      <c r="F16" s="597">
        <v>0.2857142857142857</v>
      </c>
      <c r="G16" s="597">
        <v>0.51458333333333328</v>
      </c>
      <c r="H16" s="222">
        <v>42.464285714285715</v>
      </c>
      <c r="I16" s="597">
        <v>0.25</v>
      </c>
      <c r="K16" s="616"/>
    </row>
    <row r="17" spans="1:11" ht="16" thickBot="1" x14ac:dyDescent="0.25">
      <c r="B17" s="880"/>
      <c r="C17" s="880"/>
      <c r="D17" s="443" t="s">
        <v>664</v>
      </c>
      <c r="E17" s="443">
        <v>28</v>
      </c>
      <c r="F17" s="598">
        <v>0.32142857142857145</v>
      </c>
      <c r="G17" s="598">
        <v>0.5</v>
      </c>
      <c r="H17" s="444">
        <v>43.892857142857146</v>
      </c>
      <c r="I17" s="598">
        <v>0.21428571428571427</v>
      </c>
      <c r="K17" s="616"/>
    </row>
    <row r="18" spans="1:11" ht="16" thickBot="1" x14ac:dyDescent="0.25">
      <c r="B18" s="880"/>
      <c r="C18" s="880"/>
      <c r="D18" s="443" t="s">
        <v>917</v>
      </c>
      <c r="E18" s="443">
        <v>31</v>
      </c>
      <c r="F18" s="598">
        <f>9/31</f>
        <v>0.29032258064516131</v>
      </c>
      <c r="G18" s="598">
        <v>0.5</v>
      </c>
      <c r="H18" s="444">
        <v>41.39</v>
      </c>
      <c r="I18" s="598">
        <f>8/31</f>
        <v>0.25806451612903225</v>
      </c>
      <c r="K18" s="616"/>
    </row>
    <row r="19" spans="1:11" ht="16" thickBot="1" x14ac:dyDescent="0.25">
      <c r="B19" s="880"/>
      <c r="C19" s="880"/>
      <c r="D19" s="172" t="s">
        <v>987</v>
      </c>
      <c r="E19" s="172">
        <v>28</v>
      </c>
      <c r="F19" s="420">
        <f>7/28</f>
        <v>0.25</v>
      </c>
      <c r="G19" s="420">
        <v>0.5</v>
      </c>
      <c r="H19" s="429">
        <v>40.64</v>
      </c>
      <c r="I19" s="420">
        <f>8/28</f>
        <v>0.2857142857142857</v>
      </c>
      <c r="K19" s="616"/>
    </row>
    <row r="20" spans="1:11" ht="16" thickBot="1" x14ac:dyDescent="0.25">
      <c r="B20" s="880"/>
      <c r="C20" s="880"/>
      <c r="D20" s="443" t="s">
        <v>1171</v>
      </c>
      <c r="E20" s="443">
        <v>26</v>
      </c>
      <c r="F20" s="598">
        <f>9/26</f>
        <v>0.34615384615384615</v>
      </c>
      <c r="G20" s="598">
        <v>0.50349999999999995</v>
      </c>
      <c r="H20" s="444">
        <v>39.31</v>
      </c>
      <c r="I20" s="598">
        <f>5/26</f>
        <v>0.19230769230769232</v>
      </c>
      <c r="K20" s="616"/>
    </row>
    <row r="21" spans="1:11" ht="16" thickBot="1" x14ac:dyDescent="0.25">
      <c r="B21" s="986" t="s">
        <v>1022</v>
      </c>
      <c r="C21" s="986"/>
      <c r="D21" s="223"/>
      <c r="E21" s="623">
        <f>AVERAGE(E16:E20)</f>
        <v>28.2</v>
      </c>
      <c r="F21" s="624">
        <f>AVERAGE(F16:F20)</f>
        <v>0.29872385678837288</v>
      </c>
      <c r="G21" s="624">
        <f>AVERAGE(G16:G20)</f>
        <v>0.5036166666666666</v>
      </c>
      <c r="H21" s="623">
        <f>AVERAGE(H16:H20)</f>
        <v>41.539428571428573</v>
      </c>
      <c r="I21" s="624">
        <f>AVERAGE(I16:I20)</f>
        <v>0.2400744416873449</v>
      </c>
    </row>
    <row r="22" spans="1:11" ht="15" customHeight="1" thickBot="1" x14ac:dyDescent="0.25">
      <c r="B22" s="987" t="s">
        <v>8</v>
      </c>
      <c r="C22" s="987"/>
      <c r="D22" s="173" t="s">
        <v>544</v>
      </c>
      <c r="E22" s="209">
        <v>34</v>
      </c>
      <c r="F22" s="221">
        <f>12/34</f>
        <v>0.35294117647058826</v>
      </c>
      <c r="G22" s="221">
        <v>0.50360000000000005</v>
      </c>
      <c r="H22" s="222">
        <v>41.67</v>
      </c>
      <c r="I22" s="221">
        <f>17/34</f>
        <v>0.5</v>
      </c>
      <c r="K22" s="616"/>
    </row>
    <row r="23" spans="1:11" ht="16" thickBot="1" x14ac:dyDescent="0.25">
      <c r="B23" s="880"/>
      <c r="C23" s="880"/>
      <c r="D23" s="443" t="s">
        <v>664</v>
      </c>
      <c r="E23" s="443">
        <v>34</v>
      </c>
      <c r="F23" s="285">
        <v>0.35294117647058826</v>
      </c>
      <c r="G23" s="285">
        <v>0.5091</v>
      </c>
      <c r="H23" s="444">
        <v>41</v>
      </c>
      <c r="I23" s="285">
        <v>0.47060000000000002</v>
      </c>
      <c r="K23" s="616"/>
    </row>
    <row r="24" spans="1:11" ht="16" thickBot="1" x14ac:dyDescent="0.25">
      <c r="B24" s="880"/>
      <c r="C24" s="880"/>
      <c r="D24" s="443" t="s">
        <v>917</v>
      </c>
      <c r="E24" s="443">
        <v>35</v>
      </c>
      <c r="F24" s="285">
        <v>0.37140000000000001</v>
      </c>
      <c r="G24" s="285">
        <v>0.50360000000000005</v>
      </c>
      <c r="H24" s="444">
        <v>41</v>
      </c>
      <c r="I24" s="285">
        <v>0.51419999999999999</v>
      </c>
      <c r="K24" s="616"/>
    </row>
    <row r="25" spans="1:11" ht="16" thickBot="1" x14ac:dyDescent="0.25">
      <c r="B25" s="880"/>
      <c r="C25" s="880"/>
      <c r="D25" s="172" t="s">
        <v>987</v>
      </c>
      <c r="E25" s="172">
        <v>32</v>
      </c>
      <c r="F25" s="420">
        <f>12/32</f>
        <v>0.375</v>
      </c>
      <c r="G25" s="420">
        <v>0.50180000000000002</v>
      </c>
      <c r="H25" s="429">
        <v>41.19</v>
      </c>
      <c r="I25" s="420">
        <f>15/32</f>
        <v>0.46875</v>
      </c>
      <c r="K25" s="616"/>
    </row>
    <row r="26" spans="1:11" ht="16" thickBot="1" x14ac:dyDescent="0.25">
      <c r="B26" s="880"/>
      <c r="C26" s="880"/>
      <c r="D26" s="443" t="s">
        <v>1171</v>
      </c>
      <c r="E26" s="443">
        <v>31</v>
      </c>
      <c r="F26" s="285">
        <f>12/31</f>
        <v>0.38709677419354838</v>
      </c>
      <c r="G26" s="598">
        <v>0.52139999999999997</v>
      </c>
      <c r="H26" s="444">
        <v>41</v>
      </c>
      <c r="I26" s="285">
        <v>0.4194</v>
      </c>
    </row>
    <row r="27" spans="1:11" ht="16" thickBot="1" x14ac:dyDescent="0.25">
      <c r="B27" s="986" t="s">
        <v>1022</v>
      </c>
      <c r="C27" s="986"/>
      <c r="D27" s="223"/>
      <c r="E27" s="623">
        <f>AVERAGE(E22:E26)</f>
        <v>33.200000000000003</v>
      </c>
      <c r="F27" s="624">
        <f>AVERAGE(F22:F26)</f>
        <v>0.36787582542694502</v>
      </c>
      <c r="G27" s="624">
        <f>AVERAGE(G22:G26)</f>
        <v>0.50790000000000002</v>
      </c>
      <c r="H27" s="625">
        <f>AVERAGE(H22:H26)</f>
        <v>41.172000000000004</v>
      </c>
      <c r="I27" s="624">
        <f>AVERAGE(I22:I26)</f>
        <v>0.47458999999999996</v>
      </c>
    </row>
    <row r="28" spans="1:11" x14ac:dyDescent="0.2">
      <c r="B28" s="925" t="s">
        <v>1483</v>
      </c>
      <c r="C28" s="925"/>
    </row>
    <row r="29" spans="1:11" ht="21" customHeight="1" x14ac:dyDescent="0.2">
      <c r="B29" s="942" t="s">
        <v>224</v>
      </c>
      <c r="C29" s="942"/>
      <c r="D29" s="942"/>
      <c r="E29" s="942"/>
      <c r="F29" s="942"/>
      <c r="G29" s="942"/>
      <c r="H29" s="942"/>
    </row>
    <row r="30" spans="1:11" ht="21" customHeight="1" x14ac:dyDescent="0.2">
      <c r="B30" s="38"/>
      <c r="C30" s="38"/>
      <c r="D30" s="38"/>
      <c r="E30" s="38"/>
      <c r="F30" s="38"/>
      <c r="G30" s="38"/>
      <c r="H30" s="38"/>
    </row>
    <row r="31" spans="1:11" x14ac:dyDescent="0.2">
      <c r="B31" s="39"/>
    </row>
    <row r="32" spans="1:11" x14ac:dyDescent="0.2">
      <c r="A32" s="49"/>
      <c r="B32" s="900" t="s">
        <v>821</v>
      </c>
      <c r="C32" s="900"/>
      <c r="D32" s="900"/>
      <c r="E32" s="900"/>
      <c r="F32" s="900"/>
      <c r="G32" s="900"/>
      <c r="H32" s="900"/>
      <c r="I32" s="43" t="s">
        <v>930</v>
      </c>
    </row>
    <row r="33" spans="1:14" x14ac:dyDescent="0.2">
      <c r="A33" s="467"/>
      <c r="B33" s="944" t="s">
        <v>7</v>
      </c>
      <c r="C33" s="944"/>
      <c r="D33" s="944"/>
      <c r="E33" s="944"/>
      <c r="F33" s="944"/>
      <c r="G33" s="944"/>
      <c r="H33" s="434"/>
      <c r="I33" s="434"/>
    </row>
    <row r="34" spans="1:14" ht="15" customHeight="1" x14ac:dyDescent="0.2">
      <c r="B34" s="731" t="s">
        <v>225</v>
      </c>
      <c r="C34" s="731"/>
      <c r="D34" s="734" t="s">
        <v>226</v>
      </c>
      <c r="E34" s="734"/>
      <c r="F34" s="731" t="s">
        <v>227</v>
      </c>
      <c r="G34" s="734" t="s">
        <v>228</v>
      </c>
      <c r="H34" s="734"/>
      <c r="I34" s="731" t="s">
        <v>229</v>
      </c>
    </row>
    <row r="35" spans="1:14" x14ac:dyDescent="0.2">
      <c r="B35" s="734"/>
      <c r="C35" s="734"/>
      <c r="D35" s="170" t="s">
        <v>230</v>
      </c>
      <c r="E35" s="170" t="s">
        <v>231</v>
      </c>
      <c r="F35" s="734"/>
      <c r="G35" s="170" t="s">
        <v>230</v>
      </c>
      <c r="H35" s="170" t="s">
        <v>231</v>
      </c>
      <c r="I35" s="734"/>
      <c r="N35" s="212"/>
    </row>
    <row r="36" spans="1:14" ht="21" customHeight="1" thickBot="1" x14ac:dyDescent="0.25">
      <c r="B36" s="943" t="s">
        <v>232</v>
      </c>
      <c r="C36" s="943"/>
      <c r="D36" s="588">
        <v>0</v>
      </c>
      <c r="E36" s="588">
        <v>1</v>
      </c>
      <c r="F36" s="173">
        <v>1</v>
      </c>
      <c r="G36" s="588">
        <v>0</v>
      </c>
      <c r="H36" s="588">
        <v>1</v>
      </c>
      <c r="I36" s="173">
        <v>76</v>
      </c>
      <c r="N36" s="212"/>
    </row>
    <row r="37" spans="1:14" ht="21" customHeight="1" thickBot="1" x14ac:dyDescent="0.25">
      <c r="B37" s="939" t="s">
        <v>233</v>
      </c>
      <c r="C37" s="939"/>
      <c r="D37" s="588">
        <v>0</v>
      </c>
      <c r="E37" s="588">
        <v>1</v>
      </c>
      <c r="F37" s="173">
        <v>3</v>
      </c>
      <c r="G37" s="588">
        <v>0</v>
      </c>
      <c r="H37" s="588">
        <v>1</v>
      </c>
      <c r="I37" s="173">
        <v>19</v>
      </c>
      <c r="N37" s="212"/>
    </row>
    <row r="38" spans="1:14" ht="21" customHeight="1" thickBot="1" x14ac:dyDescent="0.25">
      <c r="B38" s="939" t="s">
        <v>234</v>
      </c>
      <c r="C38" s="939"/>
      <c r="D38" s="588">
        <v>1</v>
      </c>
      <c r="E38" s="588">
        <v>0</v>
      </c>
      <c r="F38" s="173">
        <v>2</v>
      </c>
      <c r="G38" s="588">
        <v>1</v>
      </c>
      <c r="H38" s="588">
        <v>0</v>
      </c>
      <c r="I38" s="173">
        <v>42</v>
      </c>
      <c r="N38" s="212"/>
    </row>
    <row r="39" spans="1:14" ht="31.5" customHeight="1" thickBot="1" x14ac:dyDescent="0.25">
      <c r="B39" s="929" t="s">
        <v>235</v>
      </c>
      <c r="C39" s="929"/>
      <c r="D39" s="589">
        <f>100%-E39</f>
        <v>0.9</v>
      </c>
      <c r="E39" s="589">
        <f>2/20</f>
        <v>0.1</v>
      </c>
      <c r="F39" s="590">
        <v>20</v>
      </c>
      <c r="G39" s="589">
        <v>0.72130000000000005</v>
      </c>
      <c r="H39" s="589">
        <f>100%-G39</f>
        <v>0.27869999999999995</v>
      </c>
      <c r="I39" s="590">
        <v>145</v>
      </c>
      <c r="N39" s="212"/>
    </row>
    <row r="40" spans="1:14" x14ac:dyDescent="0.2">
      <c r="B40" s="930" t="s">
        <v>78</v>
      </c>
      <c r="C40" s="930"/>
      <c r="D40" s="626">
        <f>1-E40</f>
        <v>0.65384615384615385</v>
      </c>
      <c r="E40" s="626">
        <f>9/26</f>
        <v>0.34615384615384615</v>
      </c>
      <c r="F40" s="224">
        <f>SUM(F36:F39)</f>
        <v>26</v>
      </c>
      <c r="G40" s="626">
        <f>140/I40</f>
        <v>0.49645390070921985</v>
      </c>
      <c r="H40" s="626">
        <f>142/I40</f>
        <v>0.50354609929078009</v>
      </c>
      <c r="I40" s="225">
        <f>I36+I37+I38+I39</f>
        <v>282</v>
      </c>
    </row>
    <row r="41" spans="1:14" x14ac:dyDescent="0.2">
      <c r="B41" s="37"/>
      <c r="C41" s="6"/>
      <c r="D41" s="6"/>
      <c r="F41" s="6"/>
      <c r="G41" s="6"/>
    </row>
    <row r="42" spans="1:14" ht="15" customHeight="1" x14ac:dyDescent="0.2">
      <c r="B42" s="944" t="s">
        <v>8</v>
      </c>
      <c r="C42" s="944"/>
      <c r="D42" s="944"/>
      <c r="E42" s="944"/>
      <c r="F42" s="944"/>
      <c r="G42" s="944"/>
      <c r="H42" s="434"/>
      <c r="I42" s="434"/>
    </row>
    <row r="43" spans="1:14" ht="15" customHeight="1" x14ac:dyDescent="0.2">
      <c r="B43" s="731" t="s">
        <v>225</v>
      </c>
      <c r="C43" s="731"/>
      <c r="D43" s="734" t="s">
        <v>226</v>
      </c>
      <c r="E43" s="734"/>
      <c r="F43" s="731" t="s">
        <v>227</v>
      </c>
      <c r="G43" s="734" t="s">
        <v>228</v>
      </c>
      <c r="H43" s="734"/>
      <c r="I43" s="731" t="s">
        <v>229</v>
      </c>
    </row>
    <row r="44" spans="1:14" x14ac:dyDescent="0.2">
      <c r="B44" s="734"/>
      <c r="C44" s="734"/>
      <c r="D44" s="170" t="s">
        <v>230</v>
      </c>
      <c r="E44" s="170" t="s">
        <v>231</v>
      </c>
      <c r="F44" s="734"/>
      <c r="G44" s="170" t="s">
        <v>230</v>
      </c>
      <c r="H44" s="170" t="s">
        <v>231</v>
      </c>
      <c r="I44" s="734"/>
    </row>
    <row r="45" spans="1:14" ht="16" thickBot="1" x14ac:dyDescent="0.25">
      <c r="B45" s="943" t="s">
        <v>232</v>
      </c>
      <c r="C45" s="943"/>
      <c r="D45" s="588">
        <v>0</v>
      </c>
      <c r="E45" s="588">
        <v>1</v>
      </c>
      <c r="F45" s="173">
        <v>2</v>
      </c>
      <c r="G45" s="588">
        <v>0</v>
      </c>
      <c r="H45" s="588">
        <v>1</v>
      </c>
      <c r="I45" s="173">
        <v>43</v>
      </c>
    </row>
    <row r="46" spans="1:14" ht="16" thickBot="1" x14ac:dyDescent="0.25">
      <c r="B46" s="939" t="s">
        <v>233</v>
      </c>
      <c r="C46" s="939"/>
      <c r="D46" s="588">
        <v>0</v>
      </c>
      <c r="E46" s="588">
        <v>1</v>
      </c>
      <c r="F46" s="173">
        <v>1</v>
      </c>
      <c r="G46" s="588">
        <v>0</v>
      </c>
      <c r="H46" s="588">
        <v>1</v>
      </c>
      <c r="I46" s="173">
        <v>14</v>
      </c>
    </row>
    <row r="47" spans="1:14" ht="16" thickBot="1" x14ac:dyDescent="0.25">
      <c r="B47" s="939" t="s">
        <v>234</v>
      </c>
      <c r="C47" s="939"/>
      <c r="D47" s="588">
        <v>1</v>
      </c>
      <c r="E47" s="588">
        <v>0</v>
      </c>
      <c r="F47" s="173">
        <v>6</v>
      </c>
      <c r="G47" s="588">
        <v>1</v>
      </c>
      <c r="H47" s="588">
        <v>0</v>
      </c>
      <c r="I47" s="173">
        <v>74</v>
      </c>
    </row>
    <row r="48" spans="1:14" ht="16" thickBot="1" x14ac:dyDescent="0.25">
      <c r="B48" s="929" t="s">
        <v>235</v>
      </c>
      <c r="C48" s="929"/>
      <c r="D48" s="589">
        <f>13/22</f>
        <v>0.59090909090909094</v>
      </c>
      <c r="E48" s="589">
        <f>9/22</f>
        <v>0.40909090909090912</v>
      </c>
      <c r="F48" s="590">
        <v>22</v>
      </c>
      <c r="G48" s="589">
        <f>100%-H48</f>
        <v>0.47870000000000001</v>
      </c>
      <c r="H48" s="589">
        <v>0.52129999999999999</v>
      </c>
      <c r="I48" s="590">
        <v>150</v>
      </c>
    </row>
    <row r="49" spans="1:16" x14ac:dyDescent="0.2">
      <c r="B49" s="930" t="s">
        <v>78</v>
      </c>
      <c r="C49" s="930"/>
      <c r="D49" s="626">
        <f>1-E49</f>
        <v>0.61290322580645162</v>
      </c>
      <c r="E49" s="626">
        <f>12/31</f>
        <v>0.38709677419354838</v>
      </c>
      <c r="F49" s="224">
        <f>SUM(F45:F48)</f>
        <v>31</v>
      </c>
      <c r="G49" s="626">
        <f>134.5/I49</f>
        <v>0.47864768683274023</v>
      </c>
      <c r="H49" s="626">
        <f>146.5/I49</f>
        <v>0.52135231316725983</v>
      </c>
      <c r="I49" s="225">
        <f>I45+I46+I47+I48</f>
        <v>281</v>
      </c>
    </row>
    <row r="50" spans="1:16" x14ac:dyDescent="0.2">
      <c r="B50" s="925" t="s">
        <v>1483</v>
      </c>
      <c r="C50" s="925"/>
    </row>
    <row r="51" spans="1:16" ht="23.25" customHeight="1" x14ac:dyDescent="0.2">
      <c r="B51" s="942" t="s">
        <v>224</v>
      </c>
      <c r="C51" s="942"/>
      <c r="D51" s="942"/>
      <c r="E51" s="942"/>
      <c r="F51" s="942"/>
      <c r="G51" s="942"/>
      <c r="H51" s="942"/>
      <c r="I51" s="942"/>
      <c r="J51" s="942"/>
    </row>
    <row r="52" spans="1:16" x14ac:dyDescent="0.2">
      <c r="B52" s="38"/>
      <c r="C52" s="38"/>
      <c r="D52" s="38"/>
      <c r="E52" s="38"/>
      <c r="F52" s="38"/>
      <c r="G52" s="38"/>
      <c r="H52" s="38"/>
    </row>
    <row r="53" spans="1:16" x14ac:dyDescent="0.2">
      <c r="B53" s="38"/>
      <c r="C53" s="38"/>
      <c r="D53" s="38"/>
      <c r="E53" s="38"/>
      <c r="F53" s="38"/>
      <c r="G53" s="38"/>
      <c r="H53" s="38"/>
    </row>
    <row r="54" spans="1:16" x14ac:dyDescent="0.2">
      <c r="A54" s="49"/>
      <c r="B54" s="900" t="s">
        <v>822</v>
      </c>
      <c r="C54" s="900"/>
      <c r="D54" s="900"/>
      <c r="E54" s="900"/>
      <c r="F54" s="900"/>
      <c r="G54" s="900"/>
      <c r="H54" s="900"/>
      <c r="I54" t="s">
        <v>930</v>
      </c>
      <c r="J54" s="49"/>
    </row>
    <row r="55" spans="1:16" ht="16.5" customHeight="1" x14ac:dyDescent="0.2">
      <c r="B55" s="38"/>
      <c r="D55" s="38"/>
      <c r="E55" s="740" t="s">
        <v>236</v>
      </c>
      <c r="F55" s="740"/>
      <c r="G55" s="740" t="s">
        <v>237</v>
      </c>
      <c r="H55" s="740"/>
      <c r="I55" s="740" t="s">
        <v>238</v>
      </c>
      <c r="J55" s="740" t="s">
        <v>239</v>
      </c>
      <c r="K55" s="740" t="s">
        <v>240</v>
      </c>
      <c r="L55" s="740" t="s">
        <v>78</v>
      </c>
      <c r="M55" s="740" t="s">
        <v>241</v>
      </c>
      <c r="N55" s="740"/>
    </row>
    <row r="56" spans="1:16" x14ac:dyDescent="0.2">
      <c r="B56" s="38"/>
      <c r="D56" s="38"/>
      <c r="E56" s="741"/>
      <c r="F56" s="741"/>
      <c r="G56" s="741"/>
      <c r="H56" s="741"/>
      <c r="I56" s="741"/>
      <c r="J56" s="741"/>
      <c r="K56" s="741"/>
      <c r="L56" s="741"/>
      <c r="M56" s="741"/>
      <c r="N56" s="741"/>
      <c r="P56" s="464"/>
    </row>
    <row r="57" spans="1:16" ht="15" customHeight="1" thickBot="1" x14ac:dyDescent="0.25">
      <c r="B57" s="932" t="s">
        <v>7</v>
      </c>
      <c r="C57" s="932"/>
      <c r="D57" s="228" t="s">
        <v>242</v>
      </c>
      <c r="E57" s="934">
        <v>4</v>
      </c>
      <c r="F57" s="934"/>
      <c r="G57" s="957">
        <v>0</v>
      </c>
      <c r="H57" s="957"/>
      <c r="I57" s="617">
        <v>1</v>
      </c>
      <c r="J57" s="617">
        <v>4</v>
      </c>
      <c r="K57" s="617">
        <v>0</v>
      </c>
      <c r="L57" s="617">
        <f>SUM(E57:K57)</f>
        <v>9</v>
      </c>
      <c r="M57" s="988">
        <f>4/9</f>
        <v>0.44444444444444442</v>
      </c>
      <c r="N57" s="988"/>
      <c r="P57" s="649"/>
    </row>
    <row r="58" spans="1:16" ht="16" thickBot="1" x14ac:dyDescent="0.25">
      <c r="B58" s="933"/>
      <c r="C58" s="933"/>
      <c r="D58" s="229" t="s">
        <v>243</v>
      </c>
      <c r="E58" s="955" t="s">
        <v>10</v>
      </c>
      <c r="F58" s="955"/>
      <c r="G58" s="956">
        <v>2</v>
      </c>
      <c r="H58" s="956"/>
      <c r="I58" s="621" t="s">
        <v>10</v>
      </c>
      <c r="J58" s="442">
        <v>15</v>
      </c>
      <c r="K58" s="442">
        <v>0</v>
      </c>
      <c r="L58" s="442">
        <f>SUM(E58:K58)</f>
        <v>17</v>
      </c>
      <c r="M58" s="938" t="s">
        <v>10</v>
      </c>
      <c r="N58" s="938"/>
    </row>
    <row r="59" spans="1:16" x14ac:dyDescent="0.2">
      <c r="B59" s="930" t="s">
        <v>78</v>
      </c>
      <c r="C59" s="930"/>
      <c r="D59" s="930"/>
      <c r="E59" s="931">
        <f>SUM(E57:E58)</f>
        <v>4</v>
      </c>
      <c r="F59" s="931"/>
      <c r="G59" s="931">
        <f>SUM(G57:G58)</f>
        <v>2</v>
      </c>
      <c r="H59" s="931"/>
      <c r="I59" s="224">
        <f>SUM(I57:I58)</f>
        <v>1</v>
      </c>
      <c r="J59" s="224">
        <f>SUM(J57:J58)</f>
        <v>19</v>
      </c>
      <c r="K59" s="224">
        <f>SUM(K57:K58)</f>
        <v>0</v>
      </c>
      <c r="L59" s="224">
        <f>SUM(L57:L58)</f>
        <v>26</v>
      </c>
      <c r="M59" s="937">
        <f>4/9</f>
        <v>0.44444444444444442</v>
      </c>
      <c r="N59" s="937"/>
    </row>
    <row r="60" spans="1:16" ht="14.25" customHeight="1" x14ac:dyDescent="0.2">
      <c r="B60" s="38"/>
      <c r="C60" s="38"/>
      <c r="D60" s="38"/>
      <c r="E60" s="38"/>
      <c r="F60" s="38"/>
      <c r="G60" s="38"/>
      <c r="H60" s="38"/>
    </row>
    <row r="61" spans="1:16" ht="14.25" customHeight="1" x14ac:dyDescent="0.2">
      <c r="B61" s="38"/>
      <c r="D61" s="38"/>
      <c r="E61" s="740" t="s">
        <v>236</v>
      </c>
      <c r="F61" s="740"/>
      <c r="G61" s="740" t="s">
        <v>237</v>
      </c>
      <c r="H61" s="740"/>
      <c r="I61" s="740" t="s">
        <v>238</v>
      </c>
      <c r="J61" s="740" t="s">
        <v>239</v>
      </c>
      <c r="K61" s="740" t="s">
        <v>240</v>
      </c>
      <c r="L61" s="740" t="s">
        <v>78</v>
      </c>
      <c r="M61" s="740" t="s">
        <v>241</v>
      </c>
      <c r="N61" s="740"/>
      <c r="P61" s="464"/>
    </row>
    <row r="62" spans="1:16" ht="17.25" customHeight="1" x14ac:dyDescent="0.2">
      <c r="B62" s="38"/>
      <c r="D62" s="38"/>
      <c r="E62" s="741"/>
      <c r="F62" s="741"/>
      <c r="G62" s="741"/>
      <c r="H62" s="741"/>
      <c r="I62" s="741"/>
      <c r="J62" s="741"/>
      <c r="K62" s="741"/>
      <c r="L62" s="741"/>
      <c r="M62" s="741"/>
      <c r="N62" s="741"/>
      <c r="P62" s="464"/>
    </row>
    <row r="63" spans="1:16" ht="15.75" customHeight="1" thickBot="1" x14ac:dyDescent="0.25">
      <c r="B63" s="932" t="s">
        <v>8</v>
      </c>
      <c r="C63" s="932"/>
      <c r="D63" s="228" t="s">
        <v>242</v>
      </c>
      <c r="E63" s="934">
        <v>2</v>
      </c>
      <c r="F63" s="934"/>
      <c r="G63" s="957">
        <v>0</v>
      </c>
      <c r="H63" s="957"/>
      <c r="I63" s="617">
        <v>5</v>
      </c>
      <c r="J63" s="617">
        <v>5</v>
      </c>
      <c r="K63" s="617">
        <v>0</v>
      </c>
      <c r="L63" s="617">
        <f>SUM(E63:K63)</f>
        <v>12</v>
      </c>
      <c r="M63" s="961">
        <f>7/12</f>
        <v>0.58333333333333337</v>
      </c>
      <c r="N63" s="961"/>
      <c r="P63" s="649"/>
    </row>
    <row r="64" spans="1:16" ht="16" thickBot="1" x14ac:dyDescent="0.25">
      <c r="B64" s="933"/>
      <c r="C64" s="933"/>
      <c r="D64" s="229" t="s">
        <v>243</v>
      </c>
      <c r="E64" s="955" t="s">
        <v>10</v>
      </c>
      <c r="F64" s="955"/>
      <c r="G64" s="956">
        <v>6</v>
      </c>
      <c r="H64" s="956"/>
      <c r="I64" s="621" t="s">
        <v>10</v>
      </c>
      <c r="J64" s="442">
        <v>13</v>
      </c>
      <c r="K64" s="442">
        <v>0</v>
      </c>
      <c r="L64" s="442">
        <f>SUM(E64:K64)</f>
        <v>19</v>
      </c>
      <c r="M64" s="938" t="s">
        <v>10</v>
      </c>
      <c r="N64" s="938"/>
    </row>
    <row r="65" spans="1:16" x14ac:dyDescent="0.2">
      <c r="B65" s="930" t="s">
        <v>78</v>
      </c>
      <c r="C65" s="930"/>
      <c r="D65" s="930"/>
      <c r="E65" s="931">
        <f>SUM(E63:E64)</f>
        <v>2</v>
      </c>
      <c r="F65" s="931"/>
      <c r="G65" s="931">
        <f>SUM(G63:G64)</f>
        <v>6</v>
      </c>
      <c r="H65" s="931"/>
      <c r="I65" s="224">
        <f>SUM(I63:I64)</f>
        <v>5</v>
      </c>
      <c r="J65" s="224">
        <f>SUM(J63:J64)</f>
        <v>18</v>
      </c>
      <c r="K65" s="224">
        <f>SUM(K63:K64)</f>
        <v>0</v>
      </c>
      <c r="L65" s="224">
        <f>SUM(L63:L64)</f>
        <v>31</v>
      </c>
      <c r="M65" s="937">
        <f>M63</f>
        <v>0.58333333333333337</v>
      </c>
      <c r="N65" s="937"/>
    </row>
    <row r="66" spans="1:16" x14ac:dyDescent="0.2">
      <c r="B66" s="925" t="s">
        <v>1483</v>
      </c>
      <c r="C66" s="925"/>
      <c r="D66" s="485"/>
      <c r="E66" s="485"/>
      <c r="F66" s="485"/>
      <c r="G66" s="485"/>
      <c r="H66" s="485"/>
    </row>
    <row r="67" spans="1:16" x14ac:dyDescent="0.2">
      <c r="B67" s="486" t="s">
        <v>804</v>
      </c>
      <c r="C67" s="486"/>
      <c r="D67" s="486"/>
      <c r="E67" s="486"/>
      <c r="F67" s="486"/>
      <c r="G67" s="486"/>
      <c r="H67" s="486"/>
    </row>
    <row r="68" spans="1:16" x14ac:dyDescent="0.2">
      <c r="B68" s="899" t="s">
        <v>244</v>
      </c>
      <c r="C68" s="899"/>
      <c r="D68" s="899"/>
      <c r="E68" s="899"/>
      <c r="F68" s="899"/>
      <c r="G68" s="899"/>
      <c r="H68" s="899"/>
    </row>
    <row r="69" spans="1:16" x14ac:dyDescent="0.2">
      <c r="B69" s="17" t="s">
        <v>245</v>
      </c>
      <c r="C69" s="17"/>
      <c r="D69" s="17"/>
      <c r="E69" s="17"/>
      <c r="F69" s="17"/>
      <c r="G69" s="17"/>
      <c r="H69" s="17"/>
    </row>
    <row r="70" spans="1:16" x14ac:dyDescent="0.2">
      <c r="B70" s="17" t="s">
        <v>246</v>
      </c>
      <c r="C70" s="17"/>
      <c r="D70" s="17"/>
      <c r="E70" s="17"/>
      <c r="F70" s="17"/>
      <c r="G70" s="17"/>
      <c r="H70" s="17"/>
    </row>
    <row r="71" spans="1:16" x14ac:dyDescent="0.2">
      <c r="B71" s="952" t="s">
        <v>247</v>
      </c>
      <c r="C71" s="952"/>
      <c r="D71" s="952"/>
      <c r="E71" s="952"/>
      <c r="F71" s="952"/>
      <c r="G71" s="952"/>
      <c r="H71" s="952"/>
    </row>
    <row r="72" spans="1:16" x14ac:dyDescent="0.2">
      <c r="B72" s="954" t="s">
        <v>248</v>
      </c>
      <c r="C72" s="954"/>
      <c r="D72" s="954"/>
      <c r="E72" s="954"/>
      <c r="F72" s="954"/>
      <c r="G72" s="954"/>
      <c r="H72" s="954"/>
      <c r="I72" s="954"/>
      <c r="J72" s="954"/>
      <c r="K72" s="954"/>
      <c r="L72" s="954"/>
      <c r="M72" s="954"/>
      <c r="N72" s="954"/>
    </row>
    <row r="73" spans="1:16" x14ac:dyDescent="0.2">
      <c r="B73" s="41"/>
      <c r="C73" s="36"/>
      <c r="D73" s="36"/>
      <c r="E73" s="36"/>
      <c r="F73" s="36"/>
      <c r="G73" s="36"/>
      <c r="H73" s="36"/>
    </row>
    <row r="74" spans="1:16" x14ac:dyDescent="0.2">
      <c r="B74" s="41"/>
      <c r="C74" s="36"/>
      <c r="D74" s="36"/>
      <c r="E74" s="36"/>
      <c r="F74" s="36"/>
      <c r="G74" s="36"/>
      <c r="H74" s="36"/>
    </row>
    <row r="75" spans="1:16" x14ac:dyDescent="0.2">
      <c r="A75" s="49"/>
      <c r="B75" s="5" t="s">
        <v>823</v>
      </c>
      <c r="C75" s="5"/>
      <c r="D75" s="5"/>
      <c r="E75" s="5"/>
      <c r="F75" s="5"/>
      <c r="G75" s="5"/>
      <c r="H75" s="40"/>
      <c r="I75" t="s">
        <v>930</v>
      </c>
    </row>
    <row r="76" spans="1:16" ht="15" customHeight="1" x14ac:dyDescent="0.2">
      <c r="B76" s="38"/>
      <c r="D76" s="38"/>
      <c r="E76" s="740" t="s">
        <v>236</v>
      </c>
      <c r="F76" s="740"/>
      <c r="G76" s="740" t="s">
        <v>237</v>
      </c>
      <c r="H76" s="740"/>
      <c r="I76" s="740" t="s">
        <v>238</v>
      </c>
      <c r="J76" s="740" t="s">
        <v>239</v>
      </c>
      <c r="K76" s="740" t="s">
        <v>240</v>
      </c>
      <c r="L76" s="740" t="s">
        <v>78</v>
      </c>
      <c r="M76" s="740" t="s">
        <v>241</v>
      </c>
      <c r="N76" s="740"/>
    </row>
    <row r="77" spans="1:16" x14ac:dyDescent="0.2">
      <c r="B77" s="38"/>
      <c r="D77" s="38"/>
      <c r="E77" s="741"/>
      <c r="F77" s="741"/>
      <c r="G77" s="741"/>
      <c r="H77" s="741"/>
      <c r="I77" s="741"/>
      <c r="J77" s="741"/>
      <c r="K77" s="741"/>
      <c r="L77" s="741"/>
      <c r="M77" s="741"/>
      <c r="N77" s="741"/>
      <c r="P77" s="464"/>
    </row>
    <row r="78" spans="1:16" ht="16" thickBot="1" x14ac:dyDescent="0.25">
      <c r="B78" s="932" t="s">
        <v>7</v>
      </c>
      <c r="C78" s="932"/>
      <c r="D78" s="228" t="s">
        <v>242</v>
      </c>
      <c r="E78" s="953">
        <v>855</v>
      </c>
      <c r="F78" s="947"/>
      <c r="G78" s="945">
        <v>0</v>
      </c>
      <c r="H78" s="945"/>
      <c r="I78" s="620">
        <v>144</v>
      </c>
      <c r="J78" s="620">
        <v>279</v>
      </c>
      <c r="K78" s="620">
        <v>0</v>
      </c>
      <c r="L78" s="622">
        <f>SUM(E78:K78)</f>
        <v>1278</v>
      </c>
      <c r="M78" s="949">
        <v>0.64800000000000002</v>
      </c>
      <c r="N78" s="949"/>
      <c r="P78" s="649"/>
    </row>
    <row r="79" spans="1:16" ht="15.75" customHeight="1" thickBot="1" x14ac:dyDescent="0.25">
      <c r="B79" s="933"/>
      <c r="C79" s="933"/>
      <c r="D79" s="229" t="s">
        <v>243</v>
      </c>
      <c r="E79" s="941" t="s">
        <v>10</v>
      </c>
      <c r="F79" s="941"/>
      <c r="G79" s="963">
        <v>378</v>
      </c>
      <c r="H79" s="951"/>
      <c r="I79" s="618" t="s">
        <v>10</v>
      </c>
      <c r="J79" s="586">
        <v>882</v>
      </c>
      <c r="K79" s="586">
        <v>0</v>
      </c>
      <c r="L79" s="594">
        <f>G79+J79</f>
        <v>1260</v>
      </c>
      <c r="M79" s="948" t="s">
        <v>10</v>
      </c>
      <c r="N79" s="948"/>
    </row>
    <row r="80" spans="1:16" x14ac:dyDescent="0.2">
      <c r="B80" s="930" t="s">
        <v>78</v>
      </c>
      <c r="C80" s="930"/>
      <c r="D80" s="930"/>
      <c r="E80" s="962">
        <v>1278</v>
      </c>
      <c r="F80" s="931"/>
      <c r="G80" s="962">
        <v>1134</v>
      </c>
      <c r="H80" s="931"/>
      <c r="I80" s="224">
        <f>SUM(I78:I79)</f>
        <v>144</v>
      </c>
      <c r="J80" s="224">
        <f>SUM(J78:J79)</f>
        <v>1161</v>
      </c>
      <c r="K80" s="224">
        <f>SUM(K78:K79)</f>
        <v>0</v>
      </c>
      <c r="L80" s="230">
        <v>2214</v>
      </c>
      <c r="M80" s="937">
        <v>0.64800000000000002</v>
      </c>
      <c r="N80" s="937"/>
    </row>
    <row r="81" spans="2:16" ht="14.25" customHeight="1" x14ac:dyDescent="0.2">
      <c r="B81" s="38"/>
      <c r="C81" s="38"/>
      <c r="D81" s="38"/>
      <c r="E81" s="38"/>
      <c r="F81" s="38"/>
      <c r="G81" s="38"/>
      <c r="H81" s="38"/>
    </row>
    <row r="82" spans="2:16" ht="14.25" customHeight="1" x14ac:dyDescent="0.2">
      <c r="B82" s="38"/>
      <c r="D82" s="38"/>
      <c r="E82" s="740" t="s">
        <v>236</v>
      </c>
      <c r="F82" s="740"/>
      <c r="G82" s="740" t="s">
        <v>237</v>
      </c>
      <c r="H82" s="740"/>
      <c r="I82" s="740" t="s">
        <v>238</v>
      </c>
      <c r="J82" s="740" t="s">
        <v>239</v>
      </c>
      <c r="K82" s="740" t="s">
        <v>240</v>
      </c>
      <c r="L82" s="740" t="s">
        <v>78</v>
      </c>
      <c r="M82" s="740" t="s">
        <v>241</v>
      </c>
      <c r="N82" s="740"/>
      <c r="P82" s="464"/>
    </row>
    <row r="83" spans="2:16" ht="19.5" customHeight="1" x14ac:dyDescent="0.2">
      <c r="B83" s="38"/>
      <c r="D83" s="38"/>
      <c r="E83" s="741"/>
      <c r="F83" s="741"/>
      <c r="G83" s="741"/>
      <c r="H83" s="741"/>
      <c r="I83" s="741"/>
      <c r="J83" s="741"/>
      <c r="K83" s="741"/>
      <c r="L83" s="741"/>
      <c r="M83" s="741"/>
      <c r="N83" s="741"/>
      <c r="P83" s="464"/>
    </row>
    <row r="84" spans="2:16" ht="15.75" customHeight="1" thickBot="1" x14ac:dyDescent="0.25">
      <c r="B84" s="932" t="s">
        <v>8</v>
      </c>
      <c r="C84" s="932"/>
      <c r="D84" s="228" t="s">
        <v>242</v>
      </c>
      <c r="E84" s="946">
        <v>387</v>
      </c>
      <c r="F84" s="947"/>
      <c r="G84" s="945">
        <v>0</v>
      </c>
      <c r="H84" s="945"/>
      <c r="I84" s="620">
        <v>580.5</v>
      </c>
      <c r="J84" s="620">
        <v>351</v>
      </c>
      <c r="K84" s="620">
        <v>0</v>
      </c>
      <c r="L84" s="619">
        <f>SUM(E84:K84)</f>
        <v>1318.5</v>
      </c>
      <c r="M84" s="949">
        <v>0.73380000000000001</v>
      </c>
      <c r="N84" s="949"/>
      <c r="P84" s="649"/>
    </row>
    <row r="85" spans="2:16" ht="16" thickBot="1" x14ac:dyDescent="0.25">
      <c r="B85" s="933"/>
      <c r="C85" s="933"/>
      <c r="D85" s="229" t="s">
        <v>243</v>
      </c>
      <c r="E85" s="941" t="s">
        <v>10</v>
      </c>
      <c r="F85" s="941"/>
      <c r="G85" s="950">
        <v>666</v>
      </c>
      <c r="H85" s="951"/>
      <c r="I85" s="618" t="s">
        <v>10</v>
      </c>
      <c r="J85" s="586">
        <v>544.5</v>
      </c>
      <c r="K85" s="586">
        <v>0</v>
      </c>
      <c r="L85" s="595">
        <f>SUM(E85:K85)</f>
        <v>1210.5</v>
      </c>
      <c r="M85" s="948" t="s">
        <v>10</v>
      </c>
      <c r="N85" s="948"/>
    </row>
    <row r="86" spans="2:16" x14ac:dyDescent="0.2">
      <c r="B86" s="930" t="s">
        <v>78</v>
      </c>
      <c r="C86" s="930"/>
      <c r="D86" s="930"/>
      <c r="E86" s="940">
        <v>1264.5</v>
      </c>
      <c r="F86" s="931"/>
      <c r="G86" s="940">
        <v>1246.5</v>
      </c>
      <c r="H86" s="931"/>
      <c r="I86" s="224">
        <f>SUM(I84:I85)</f>
        <v>580.5</v>
      </c>
      <c r="J86" s="224">
        <f>SUM(J84:J85)</f>
        <v>895.5</v>
      </c>
      <c r="K86" s="224">
        <f>SUM(K84:K85)</f>
        <v>0</v>
      </c>
      <c r="L86" s="224">
        <f>SUM(L84:L85)</f>
        <v>2529</v>
      </c>
      <c r="M86" s="937">
        <f>M84</f>
        <v>0.73380000000000001</v>
      </c>
      <c r="N86" s="937"/>
    </row>
    <row r="87" spans="2:16" x14ac:dyDescent="0.2">
      <c r="B87" s="925" t="s">
        <v>1483</v>
      </c>
      <c r="C87" s="925"/>
      <c r="D87" s="485"/>
      <c r="E87" s="485"/>
      <c r="F87" s="485"/>
      <c r="G87" s="485"/>
      <c r="H87" s="485"/>
    </row>
    <row r="88" spans="2:16" x14ac:dyDescent="0.2">
      <c r="B88" s="486" t="s">
        <v>804</v>
      </c>
      <c r="C88" s="486"/>
      <c r="D88" s="486"/>
      <c r="E88" s="486"/>
      <c r="F88" s="486"/>
      <c r="G88" s="486"/>
      <c r="H88" s="486"/>
    </row>
    <row r="89" spans="2:16" x14ac:dyDescent="0.2">
      <c r="B89" s="486" t="s">
        <v>244</v>
      </c>
      <c r="C89" s="486"/>
      <c r="D89" s="486"/>
      <c r="E89" s="486"/>
      <c r="F89" s="486"/>
      <c r="G89" s="486"/>
      <c r="H89" s="486"/>
    </row>
    <row r="90" spans="2:16" x14ac:dyDescent="0.2">
      <c r="B90" s="17" t="s">
        <v>245</v>
      </c>
      <c r="C90" s="17"/>
      <c r="D90" s="17"/>
      <c r="E90" s="17"/>
      <c r="F90" s="17"/>
      <c r="G90" s="17"/>
      <c r="H90" s="17"/>
    </row>
    <row r="91" spans="2:16" x14ac:dyDescent="0.2">
      <c r="B91" s="17" t="s">
        <v>246</v>
      </c>
      <c r="C91" s="17"/>
      <c r="D91" s="17"/>
      <c r="E91" s="17"/>
      <c r="F91" s="17"/>
      <c r="G91" s="17"/>
      <c r="H91" s="17"/>
    </row>
    <row r="92" spans="2:16" x14ac:dyDescent="0.2">
      <c r="B92" s="17" t="s">
        <v>247</v>
      </c>
      <c r="C92" s="17"/>
      <c r="D92" s="17"/>
      <c r="E92" s="17"/>
      <c r="F92" s="17"/>
      <c r="G92" s="17"/>
      <c r="H92" s="17"/>
    </row>
    <row r="93" spans="2:16" x14ac:dyDescent="0.2">
      <c r="B93" s="41" t="s">
        <v>248</v>
      </c>
      <c r="C93" s="42"/>
      <c r="D93" s="42"/>
      <c r="E93" s="42"/>
      <c r="F93" s="42"/>
      <c r="G93" s="42"/>
      <c r="H93" s="42"/>
    </row>
    <row r="94" spans="2:16" x14ac:dyDescent="0.2">
      <c r="B94" s="41"/>
      <c r="C94" s="42"/>
      <c r="D94" s="42"/>
      <c r="E94" s="42"/>
      <c r="F94" s="42"/>
      <c r="G94" s="42"/>
      <c r="H94" s="42"/>
    </row>
    <row r="95" spans="2:16" x14ac:dyDescent="0.2">
      <c r="B95" s="41"/>
      <c r="C95" s="42"/>
      <c r="D95" s="42"/>
      <c r="E95" s="42"/>
      <c r="F95" s="42"/>
      <c r="G95" s="42"/>
      <c r="H95" s="42"/>
    </row>
    <row r="96" spans="2:16" x14ac:dyDescent="0.2">
      <c r="B96" s="5" t="s">
        <v>824</v>
      </c>
      <c r="C96" s="5"/>
      <c r="D96" s="5"/>
      <c r="E96" s="5"/>
      <c r="F96" s="5"/>
      <c r="G96" s="5"/>
      <c r="H96" s="36" t="s">
        <v>930</v>
      </c>
    </row>
    <row r="97" spans="1:20" ht="15" customHeight="1" x14ac:dyDescent="0.2">
      <c r="B97" s="944" t="s">
        <v>7</v>
      </c>
      <c r="C97" s="944"/>
      <c r="D97" s="944"/>
      <c r="E97" s="944"/>
      <c r="F97" s="944"/>
      <c r="G97" s="944"/>
      <c r="H97" s="944"/>
      <c r="I97" s="944"/>
      <c r="J97" s="944"/>
      <c r="K97" s="944"/>
      <c r="L97" s="944"/>
      <c r="M97" s="944"/>
      <c r="N97" s="944"/>
      <c r="O97" s="944"/>
      <c r="P97" s="944"/>
      <c r="Q97" s="944"/>
      <c r="R97" s="944"/>
    </row>
    <row r="98" spans="1:20" ht="31.5" customHeight="1" x14ac:dyDescent="0.2">
      <c r="B98" s="740" t="s">
        <v>249</v>
      </c>
      <c r="C98" s="740"/>
      <c r="D98" s="740" t="s">
        <v>250</v>
      </c>
      <c r="E98" s="740"/>
      <c r="F98" s="740"/>
      <c r="G98" s="207" t="s">
        <v>251</v>
      </c>
      <c r="H98" s="740" t="s">
        <v>252</v>
      </c>
      <c r="I98" s="740"/>
      <c r="J98" s="207" t="s">
        <v>253</v>
      </c>
      <c r="K98" s="207" t="s">
        <v>254</v>
      </c>
      <c r="L98" s="740" t="s">
        <v>255</v>
      </c>
      <c r="M98" s="740"/>
      <c r="N98" s="740" t="s">
        <v>225</v>
      </c>
      <c r="O98" s="740"/>
      <c r="P98" s="207" t="s">
        <v>256</v>
      </c>
      <c r="Q98" s="207" t="s">
        <v>257</v>
      </c>
      <c r="R98" s="207" t="s">
        <v>258</v>
      </c>
      <c r="S98" s="655"/>
      <c r="T98" s="655"/>
    </row>
    <row r="99" spans="1:20" ht="36.75" customHeight="1" x14ac:dyDescent="0.2">
      <c r="B99" s="867">
        <v>37214001</v>
      </c>
      <c r="C99" s="868"/>
      <c r="D99" s="886" t="s">
        <v>259</v>
      </c>
      <c r="E99" s="886"/>
      <c r="F99" s="886"/>
      <c r="G99" s="871" t="s">
        <v>260</v>
      </c>
      <c r="H99" s="872" t="s">
        <v>261</v>
      </c>
      <c r="I99" s="872"/>
      <c r="J99" s="871">
        <v>6</v>
      </c>
      <c r="K99" s="871">
        <v>71</v>
      </c>
      <c r="L99" s="863" t="s">
        <v>262</v>
      </c>
      <c r="M99" s="864"/>
      <c r="N99" s="863" t="s">
        <v>263</v>
      </c>
      <c r="O99" s="864"/>
      <c r="P99" s="500">
        <v>162</v>
      </c>
      <c r="Q99" s="501">
        <v>6.3829787234042548E-2</v>
      </c>
      <c r="R99" s="861">
        <v>1</v>
      </c>
      <c r="S99" s="652"/>
      <c r="T99" s="652"/>
    </row>
    <row r="100" spans="1:20" ht="36.75" customHeight="1" x14ac:dyDescent="0.2">
      <c r="B100" s="869"/>
      <c r="C100" s="870"/>
      <c r="D100" s="886"/>
      <c r="E100" s="886"/>
      <c r="F100" s="886"/>
      <c r="G100" s="871"/>
      <c r="H100" s="872"/>
      <c r="I100" s="872"/>
      <c r="J100" s="871"/>
      <c r="K100" s="871"/>
      <c r="L100" s="863" t="s">
        <v>1245</v>
      </c>
      <c r="M100" s="864"/>
      <c r="N100" s="863" t="s">
        <v>275</v>
      </c>
      <c r="O100" s="864"/>
      <c r="P100" s="499">
        <v>171</v>
      </c>
      <c r="Q100" s="498">
        <v>6.7375886524822695E-2</v>
      </c>
      <c r="R100" s="862"/>
      <c r="S100" s="652"/>
      <c r="T100" s="652"/>
    </row>
    <row r="101" spans="1:20" ht="36" customHeight="1" x14ac:dyDescent="0.2">
      <c r="B101" s="865">
        <v>37214002</v>
      </c>
      <c r="C101" s="866"/>
      <c r="D101" s="886" t="s">
        <v>264</v>
      </c>
      <c r="E101" s="886"/>
      <c r="F101" s="886"/>
      <c r="G101" s="627" t="s">
        <v>260</v>
      </c>
      <c r="H101" s="872" t="s">
        <v>261</v>
      </c>
      <c r="I101" s="872"/>
      <c r="J101" s="627">
        <v>6</v>
      </c>
      <c r="K101" s="627">
        <v>93</v>
      </c>
      <c r="L101" s="863" t="s">
        <v>265</v>
      </c>
      <c r="M101" s="864"/>
      <c r="N101" s="863" t="s">
        <v>266</v>
      </c>
      <c r="O101" s="864"/>
      <c r="P101" s="499">
        <v>144</v>
      </c>
      <c r="Q101" s="498">
        <v>5.67E-2</v>
      </c>
      <c r="R101" s="71">
        <v>1</v>
      </c>
      <c r="S101" s="652"/>
      <c r="T101" s="652"/>
    </row>
    <row r="102" spans="1:20" ht="34.5" customHeight="1" x14ac:dyDescent="0.2">
      <c r="B102" s="865">
        <v>37214003</v>
      </c>
      <c r="C102" s="866"/>
      <c r="D102" s="886" t="s">
        <v>267</v>
      </c>
      <c r="E102" s="886"/>
      <c r="F102" s="886"/>
      <c r="G102" s="627" t="s">
        <v>268</v>
      </c>
      <c r="H102" s="872" t="s">
        <v>261</v>
      </c>
      <c r="I102" s="872"/>
      <c r="J102" s="627">
        <v>6</v>
      </c>
      <c r="K102" s="627">
        <v>61</v>
      </c>
      <c r="L102" s="863" t="s">
        <v>265</v>
      </c>
      <c r="M102" s="864"/>
      <c r="N102" s="863" t="s">
        <v>266</v>
      </c>
      <c r="O102" s="864"/>
      <c r="P102" s="499">
        <v>144</v>
      </c>
      <c r="Q102" s="498">
        <v>5.67E-2</v>
      </c>
      <c r="R102" s="71">
        <v>1</v>
      </c>
      <c r="S102" s="652"/>
      <c r="T102" s="652"/>
    </row>
    <row r="103" spans="1:20" ht="30" customHeight="1" x14ac:dyDescent="0.2">
      <c r="B103" s="865">
        <v>37214004</v>
      </c>
      <c r="C103" s="866"/>
      <c r="D103" s="886" t="s">
        <v>269</v>
      </c>
      <c r="E103" s="886"/>
      <c r="F103" s="886"/>
      <c r="G103" s="627" t="s">
        <v>268</v>
      </c>
      <c r="H103" s="872" t="s">
        <v>261</v>
      </c>
      <c r="I103" s="872"/>
      <c r="J103" s="627">
        <v>6</v>
      </c>
      <c r="K103" s="627">
        <v>71</v>
      </c>
      <c r="L103" s="863" t="s">
        <v>270</v>
      </c>
      <c r="M103" s="864"/>
      <c r="N103" s="863" t="s">
        <v>271</v>
      </c>
      <c r="O103" s="864"/>
      <c r="P103" s="500">
        <v>54</v>
      </c>
      <c r="Q103" s="501">
        <v>2.1276595744680851E-2</v>
      </c>
      <c r="R103" s="71">
        <v>1</v>
      </c>
      <c r="S103" s="652"/>
      <c r="T103" s="652"/>
    </row>
    <row r="104" spans="1:20" ht="31.5" customHeight="1" x14ac:dyDescent="0.2">
      <c r="A104" s="13"/>
      <c r="B104" s="867">
        <v>37214005</v>
      </c>
      <c r="C104" s="868"/>
      <c r="D104" s="886" t="s">
        <v>272</v>
      </c>
      <c r="E104" s="886"/>
      <c r="F104" s="886"/>
      <c r="G104" s="871" t="s">
        <v>260</v>
      </c>
      <c r="H104" s="872" t="s">
        <v>261</v>
      </c>
      <c r="I104" s="872"/>
      <c r="J104" s="871">
        <v>6</v>
      </c>
      <c r="K104" s="871">
        <v>65</v>
      </c>
      <c r="L104" s="863" t="s">
        <v>1243</v>
      </c>
      <c r="M104" s="864"/>
      <c r="N104" s="863" t="s">
        <v>304</v>
      </c>
      <c r="O104" s="864"/>
      <c r="P104" s="499">
        <v>54</v>
      </c>
      <c r="Q104" s="498">
        <v>2.1299999999999999E-2</v>
      </c>
      <c r="R104" s="861">
        <v>1</v>
      </c>
      <c r="S104" s="652"/>
      <c r="T104" s="652"/>
    </row>
    <row r="105" spans="1:20" ht="31.5" customHeight="1" x14ac:dyDescent="0.2">
      <c r="A105" s="13"/>
      <c r="B105" s="869"/>
      <c r="C105" s="870"/>
      <c r="D105" s="886"/>
      <c r="E105" s="886"/>
      <c r="F105" s="886"/>
      <c r="G105" s="871"/>
      <c r="H105" s="872"/>
      <c r="I105" s="872"/>
      <c r="J105" s="871"/>
      <c r="K105" s="871"/>
      <c r="L105" s="863" t="s">
        <v>988</v>
      </c>
      <c r="M105" s="864"/>
      <c r="N105" s="863" t="s">
        <v>295</v>
      </c>
      <c r="O105" s="864"/>
      <c r="P105" s="499">
        <v>18</v>
      </c>
      <c r="Q105" s="498">
        <v>7.1000000000000004E-3</v>
      </c>
      <c r="R105" s="862"/>
      <c r="S105" s="652"/>
      <c r="T105" s="652"/>
    </row>
    <row r="106" spans="1:20" ht="31.5" customHeight="1" x14ac:dyDescent="0.2">
      <c r="A106" s="13"/>
      <c r="B106" s="882">
        <v>37214006</v>
      </c>
      <c r="C106" s="883"/>
      <c r="D106" s="886" t="s">
        <v>273</v>
      </c>
      <c r="E106" s="886"/>
      <c r="F106" s="886"/>
      <c r="G106" s="871" t="s">
        <v>260</v>
      </c>
      <c r="H106" s="872" t="s">
        <v>261</v>
      </c>
      <c r="I106" s="872"/>
      <c r="J106" s="871">
        <v>6</v>
      </c>
      <c r="K106" s="871">
        <v>65</v>
      </c>
      <c r="L106" s="863" t="s">
        <v>1245</v>
      </c>
      <c r="M106" s="864"/>
      <c r="N106" s="863" t="s">
        <v>275</v>
      </c>
      <c r="O106" s="864"/>
      <c r="P106" s="499">
        <v>171</v>
      </c>
      <c r="Q106" s="498">
        <v>6.7375886524822695E-2</v>
      </c>
      <c r="R106" s="71">
        <v>1</v>
      </c>
      <c r="S106" s="652"/>
      <c r="T106" s="652"/>
    </row>
    <row r="107" spans="1:20" ht="35.25" customHeight="1" x14ac:dyDescent="0.2">
      <c r="B107" s="884"/>
      <c r="C107" s="885"/>
      <c r="D107" s="886"/>
      <c r="E107" s="886"/>
      <c r="F107" s="886"/>
      <c r="G107" s="871"/>
      <c r="H107" s="872"/>
      <c r="I107" s="872"/>
      <c r="J107" s="871"/>
      <c r="K107" s="871"/>
      <c r="L107" s="863" t="s">
        <v>274</v>
      </c>
      <c r="M107" s="864"/>
      <c r="N107" s="863" t="s">
        <v>275</v>
      </c>
      <c r="O107" s="864"/>
      <c r="P107" s="499">
        <v>333</v>
      </c>
      <c r="Q107" s="498">
        <v>0.13120567375886524</v>
      </c>
      <c r="R107" s="71">
        <v>1</v>
      </c>
      <c r="S107" s="652"/>
      <c r="T107" s="652"/>
    </row>
    <row r="108" spans="1:20" ht="42" customHeight="1" x14ac:dyDescent="0.2">
      <c r="B108" s="865">
        <v>37214007</v>
      </c>
      <c r="C108" s="866"/>
      <c r="D108" s="886" t="s">
        <v>276</v>
      </c>
      <c r="E108" s="886"/>
      <c r="F108" s="886"/>
      <c r="G108" s="627" t="s">
        <v>268</v>
      </c>
      <c r="H108" s="872" t="s">
        <v>261</v>
      </c>
      <c r="I108" s="872"/>
      <c r="J108" s="627">
        <v>6</v>
      </c>
      <c r="K108" s="627">
        <v>62</v>
      </c>
      <c r="L108" s="863" t="s">
        <v>262</v>
      </c>
      <c r="M108" s="864"/>
      <c r="N108" s="873" t="s">
        <v>263</v>
      </c>
      <c r="O108" s="874"/>
      <c r="P108" s="500">
        <v>162</v>
      </c>
      <c r="Q108" s="501">
        <v>6.3829787234042548E-2</v>
      </c>
      <c r="R108" s="71">
        <v>1</v>
      </c>
      <c r="S108" s="465"/>
      <c r="T108" s="652"/>
    </row>
    <row r="109" spans="1:20" ht="33" customHeight="1" x14ac:dyDescent="0.2">
      <c r="B109" s="865">
        <v>37214008</v>
      </c>
      <c r="C109" s="866"/>
      <c r="D109" s="886" t="s">
        <v>277</v>
      </c>
      <c r="E109" s="886"/>
      <c r="F109" s="886"/>
      <c r="G109" s="627" t="s">
        <v>268</v>
      </c>
      <c r="H109" s="872" t="s">
        <v>261</v>
      </c>
      <c r="I109" s="872"/>
      <c r="J109" s="627">
        <v>6</v>
      </c>
      <c r="K109" s="627">
        <v>54</v>
      </c>
      <c r="L109" s="863" t="s">
        <v>279</v>
      </c>
      <c r="M109" s="864"/>
      <c r="N109" s="863" t="s">
        <v>280</v>
      </c>
      <c r="O109" s="864"/>
      <c r="P109" s="499">
        <v>243</v>
      </c>
      <c r="Q109" s="498">
        <v>9.5744680851063829E-2</v>
      </c>
      <c r="R109" s="71">
        <v>1</v>
      </c>
      <c r="S109" s="652"/>
      <c r="T109" s="652"/>
    </row>
    <row r="110" spans="1:20" ht="33.75" customHeight="1" x14ac:dyDescent="0.2">
      <c r="B110" s="865">
        <v>37214009</v>
      </c>
      <c r="C110" s="866"/>
      <c r="D110" s="886" t="s">
        <v>278</v>
      </c>
      <c r="E110" s="886"/>
      <c r="F110" s="886"/>
      <c r="G110" s="627" t="s">
        <v>268</v>
      </c>
      <c r="H110" s="872" t="s">
        <v>261</v>
      </c>
      <c r="I110" s="872"/>
      <c r="J110" s="627">
        <v>6</v>
      </c>
      <c r="K110" s="627">
        <v>50</v>
      </c>
      <c r="L110" s="863" t="s">
        <v>282</v>
      </c>
      <c r="M110" s="864"/>
      <c r="N110" s="863" t="s">
        <v>271</v>
      </c>
      <c r="O110" s="864"/>
      <c r="P110" s="499">
        <v>108</v>
      </c>
      <c r="Q110" s="498">
        <v>4.2553191489361701E-2</v>
      </c>
      <c r="R110" s="71">
        <v>1</v>
      </c>
      <c r="S110" s="652"/>
      <c r="T110" s="652"/>
    </row>
    <row r="111" spans="1:20" ht="38.25" customHeight="1" x14ac:dyDescent="0.2">
      <c r="B111" s="865">
        <v>37214010</v>
      </c>
      <c r="C111" s="866"/>
      <c r="D111" s="886" t="s">
        <v>281</v>
      </c>
      <c r="E111" s="886"/>
      <c r="F111" s="886"/>
      <c r="G111" s="627" t="s">
        <v>260</v>
      </c>
      <c r="H111" s="872" t="s">
        <v>261</v>
      </c>
      <c r="I111" s="872"/>
      <c r="J111" s="627">
        <v>6</v>
      </c>
      <c r="K111" s="627">
        <v>72</v>
      </c>
      <c r="L111" s="863" t="s">
        <v>282</v>
      </c>
      <c r="M111" s="864"/>
      <c r="N111" s="863" t="s">
        <v>271</v>
      </c>
      <c r="O111" s="864"/>
      <c r="P111" s="496">
        <v>108</v>
      </c>
      <c r="Q111" s="497">
        <v>4.2553191489361701E-2</v>
      </c>
      <c r="R111" s="71">
        <v>1</v>
      </c>
      <c r="S111" s="652"/>
      <c r="T111" s="652"/>
    </row>
    <row r="112" spans="1:20" ht="38.25" customHeight="1" x14ac:dyDescent="0.2">
      <c r="B112" s="882">
        <v>37214101</v>
      </c>
      <c r="C112" s="883"/>
      <c r="D112" s="886" t="s">
        <v>283</v>
      </c>
      <c r="E112" s="886"/>
      <c r="F112" s="886"/>
      <c r="G112" s="871" t="s">
        <v>260</v>
      </c>
      <c r="H112" s="872" t="s">
        <v>284</v>
      </c>
      <c r="I112" s="872"/>
      <c r="J112" s="871">
        <v>6</v>
      </c>
      <c r="K112" s="871">
        <v>68</v>
      </c>
      <c r="L112" s="863" t="s">
        <v>1245</v>
      </c>
      <c r="M112" s="864"/>
      <c r="N112" s="863" t="s">
        <v>275</v>
      </c>
      <c r="O112" s="864"/>
      <c r="P112" s="499">
        <v>171</v>
      </c>
      <c r="Q112" s="498">
        <v>6.7375886524822695E-2</v>
      </c>
      <c r="R112" s="861">
        <v>2</v>
      </c>
      <c r="S112" s="652"/>
      <c r="T112" s="652"/>
    </row>
    <row r="113" spans="2:20" ht="24.75" customHeight="1" x14ac:dyDescent="0.2">
      <c r="B113" s="884"/>
      <c r="C113" s="885"/>
      <c r="D113" s="886"/>
      <c r="E113" s="886"/>
      <c r="F113" s="886"/>
      <c r="G113" s="871"/>
      <c r="H113" s="872"/>
      <c r="I113" s="872"/>
      <c r="J113" s="871"/>
      <c r="K113" s="871"/>
      <c r="L113" s="863" t="s">
        <v>274</v>
      </c>
      <c r="M113" s="864"/>
      <c r="N113" s="863" t="s">
        <v>275</v>
      </c>
      <c r="O113" s="864"/>
      <c r="P113" s="499">
        <v>333</v>
      </c>
      <c r="Q113" s="498">
        <v>0.13120567375886524</v>
      </c>
      <c r="R113" s="862"/>
      <c r="S113" s="652"/>
      <c r="T113" s="652"/>
    </row>
    <row r="114" spans="2:20" ht="31.5" customHeight="1" x14ac:dyDescent="0.2">
      <c r="B114" s="865">
        <v>37214102</v>
      </c>
      <c r="C114" s="866"/>
      <c r="D114" s="886" t="s">
        <v>285</v>
      </c>
      <c r="E114" s="886"/>
      <c r="F114" s="886"/>
      <c r="G114" s="627" t="s">
        <v>260</v>
      </c>
      <c r="H114" s="872" t="s">
        <v>284</v>
      </c>
      <c r="I114" s="872"/>
      <c r="J114" s="627">
        <v>6</v>
      </c>
      <c r="K114" s="627">
        <v>60</v>
      </c>
      <c r="L114" s="863" t="s">
        <v>1246</v>
      </c>
      <c r="M114" s="864"/>
      <c r="N114" s="863" t="s">
        <v>304</v>
      </c>
      <c r="O114" s="864"/>
      <c r="P114" s="496">
        <v>99</v>
      </c>
      <c r="Q114" s="497">
        <v>3.9007092198581561E-2</v>
      </c>
      <c r="R114" s="71">
        <v>2</v>
      </c>
      <c r="S114" s="652"/>
      <c r="T114" s="652"/>
    </row>
    <row r="115" spans="2:20" ht="26.25" customHeight="1" x14ac:dyDescent="0.2">
      <c r="B115" s="867">
        <v>37214103</v>
      </c>
      <c r="C115" s="868"/>
      <c r="D115" s="886" t="s">
        <v>286</v>
      </c>
      <c r="E115" s="886"/>
      <c r="F115" s="886"/>
      <c r="G115" s="871" t="s">
        <v>287</v>
      </c>
      <c r="H115" s="872" t="s">
        <v>284</v>
      </c>
      <c r="I115" s="872"/>
      <c r="J115" s="871">
        <v>6</v>
      </c>
      <c r="K115" s="871">
        <v>22</v>
      </c>
      <c r="L115" s="863" t="s">
        <v>274</v>
      </c>
      <c r="M115" s="864"/>
      <c r="N115" s="863" t="s">
        <v>275</v>
      </c>
      <c r="O115" s="864"/>
      <c r="P115" s="499">
        <v>333</v>
      </c>
      <c r="Q115" s="498">
        <v>0.13120567375886524</v>
      </c>
      <c r="R115" s="861">
        <v>1</v>
      </c>
      <c r="S115" s="652"/>
      <c r="T115" s="652"/>
    </row>
    <row r="116" spans="2:20" ht="26.25" customHeight="1" x14ac:dyDescent="0.2">
      <c r="B116" s="869"/>
      <c r="C116" s="870"/>
      <c r="D116" s="886"/>
      <c r="E116" s="886"/>
      <c r="F116" s="886"/>
      <c r="G116" s="871"/>
      <c r="H116" s="872"/>
      <c r="I116" s="872"/>
      <c r="J116" s="871"/>
      <c r="K116" s="871"/>
      <c r="L116" s="863" t="s">
        <v>984</v>
      </c>
      <c r="M116" s="864"/>
      <c r="N116" s="863" t="s">
        <v>295</v>
      </c>
      <c r="O116" s="864"/>
      <c r="P116" s="496">
        <v>45</v>
      </c>
      <c r="Q116" s="497">
        <v>1.7730496453900711E-2</v>
      </c>
      <c r="R116" s="862"/>
      <c r="S116" s="652"/>
      <c r="T116" s="652"/>
    </row>
    <row r="117" spans="2:20" ht="31.5" customHeight="1" x14ac:dyDescent="0.2">
      <c r="B117" s="865">
        <v>37214104</v>
      </c>
      <c r="C117" s="866"/>
      <c r="D117" s="886" t="s">
        <v>288</v>
      </c>
      <c r="E117" s="886"/>
      <c r="F117" s="886"/>
      <c r="G117" s="627" t="s">
        <v>260</v>
      </c>
      <c r="H117" s="872" t="s">
        <v>284</v>
      </c>
      <c r="I117" s="872"/>
      <c r="J117" s="627">
        <v>6</v>
      </c>
      <c r="K117" s="627">
        <v>47</v>
      </c>
      <c r="L117" s="863" t="s">
        <v>279</v>
      </c>
      <c r="M117" s="864"/>
      <c r="N117" s="863" t="s">
        <v>280</v>
      </c>
      <c r="O117" s="864"/>
      <c r="P117" s="499">
        <v>243</v>
      </c>
      <c r="Q117" s="498">
        <v>9.5744680851063829E-2</v>
      </c>
      <c r="R117" s="71">
        <v>2</v>
      </c>
      <c r="S117" s="652"/>
      <c r="T117" s="652"/>
    </row>
    <row r="118" spans="2:20" ht="31.5" customHeight="1" x14ac:dyDescent="0.2">
      <c r="B118" s="865">
        <v>37214105</v>
      </c>
      <c r="C118" s="866"/>
      <c r="D118" s="886" t="s">
        <v>289</v>
      </c>
      <c r="E118" s="886"/>
      <c r="F118" s="886"/>
      <c r="G118" s="627" t="s">
        <v>268</v>
      </c>
      <c r="H118" s="872" t="s">
        <v>284</v>
      </c>
      <c r="I118" s="872"/>
      <c r="J118" s="627">
        <v>6</v>
      </c>
      <c r="K118" s="627">
        <v>39</v>
      </c>
      <c r="L118" s="863" t="s">
        <v>290</v>
      </c>
      <c r="M118" s="864"/>
      <c r="N118" s="863" t="s">
        <v>280</v>
      </c>
      <c r="O118" s="864"/>
      <c r="P118" s="500">
        <v>135</v>
      </c>
      <c r="Q118" s="501">
        <v>5.3191489361702128E-2</v>
      </c>
      <c r="R118" s="71">
        <v>2</v>
      </c>
      <c r="S118" s="652"/>
      <c r="T118" s="652"/>
    </row>
    <row r="119" spans="2:20" ht="31.5" customHeight="1" x14ac:dyDescent="0.2">
      <c r="B119" s="867">
        <v>37214106</v>
      </c>
      <c r="C119" s="868"/>
      <c r="D119" s="886" t="s">
        <v>291</v>
      </c>
      <c r="E119" s="886"/>
      <c r="F119" s="886"/>
      <c r="G119" s="871" t="s">
        <v>260</v>
      </c>
      <c r="H119" s="872" t="s">
        <v>284</v>
      </c>
      <c r="I119" s="872"/>
      <c r="J119" s="871">
        <v>6</v>
      </c>
      <c r="K119" s="871">
        <v>68</v>
      </c>
      <c r="L119" s="863" t="s">
        <v>292</v>
      </c>
      <c r="M119" s="864"/>
      <c r="N119" s="863" t="s">
        <v>271</v>
      </c>
      <c r="O119" s="864"/>
      <c r="P119" s="499">
        <v>108</v>
      </c>
      <c r="Q119" s="498">
        <v>4.2553191489361701E-2</v>
      </c>
      <c r="R119" s="861">
        <v>2</v>
      </c>
      <c r="S119" s="652"/>
      <c r="T119" s="652"/>
    </row>
    <row r="120" spans="2:20" ht="31.5" customHeight="1" x14ac:dyDescent="0.2">
      <c r="B120" s="935"/>
      <c r="C120" s="936"/>
      <c r="D120" s="886"/>
      <c r="E120" s="886"/>
      <c r="F120" s="886"/>
      <c r="G120" s="871"/>
      <c r="H120" s="872"/>
      <c r="I120" s="872"/>
      <c r="J120" s="871"/>
      <c r="K120" s="871"/>
      <c r="L120" s="863" t="s">
        <v>989</v>
      </c>
      <c r="M120" s="864"/>
      <c r="N120" s="863" t="s">
        <v>271</v>
      </c>
      <c r="O120" s="864"/>
      <c r="P120" s="499">
        <v>27</v>
      </c>
      <c r="Q120" s="498">
        <v>1.0638297872340425E-2</v>
      </c>
      <c r="R120" s="875"/>
      <c r="S120" s="652"/>
      <c r="T120" s="652"/>
    </row>
    <row r="121" spans="2:20" ht="31.5" customHeight="1" x14ac:dyDescent="0.2">
      <c r="B121" s="869"/>
      <c r="C121" s="870"/>
      <c r="D121" s="886"/>
      <c r="E121" s="886"/>
      <c r="F121" s="886"/>
      <c r="G121" s="871"/>
      <c r="H121" s="872"/>
      <c r="I121" s="872"/>
      <c r="J121" s="871"/>
      <c r="K121" s="871"/>
      <c r="L121" s="863" t="s">
        <v>990</v>
      </c>
      <c r="M121" s="864"/>
      <c r="N121" s="863" t="s">
        <v>271</v>
      </c>
      <c r="O121" s="864"/>
      <c r="P121" s="499">
        <v>135</v>
      </c>
      <c r="Q121" s="498">
        <v>5.3191489361702128E-2</v>
      </c>
      <c r="R121" s="862"/>
      <c r="S121" s="652"/>
      <c r="T121" s="652"/>
    </row>
    <row r="122" spans="2:20" ht="31.5" customHeight="1" x14ac:dyDescent="0.2">
      <c r="B122" s="867">
        <v>37214107</v>
      </c>
      <c r="C122" s="868"/>
      <c r="D122" s="886" t="s">
        <v>293</v>
      </c>
      <c r="E122" s="886"/>
      <c r="F122" s="886"/>
      <c r="G122" s="871" t="s">
        <v>268</v>
      </c>
      <c r="H122" s="872" t="s">
        <v>284</v>
      </c>
      <c r="I122" s="872"/>
      <c r="J122" s="871">
        <v>12</v>
      </c>
      <c r="K122" s="871">
        <v>54</v>
      </c>
      <c r="L122" s="863" t="s">
        <v>294</v>
      </c>
      <c r="M122" s="864"/>
      <c r="N122" s="863" t="s">
        <v>295</v>
      </c>
      <c r="O122" s="864"/>
      <c r="P122" s="496">
        <v>81</v>
      </c>
      <c r="Q122" s="497">
        <v>3.1914893617021274E-2</v>
      </c>
      <c r="R122" s="861">
        <v>2</v>
      </c>
      <c r="S122" s="652"/>
      <c r="T122" s="652"/>
    </row>
    <row r="123" spans="2:20" ht="22.5" customHeight="1" x14ac:dyDescent="0.2">
      <c r="B123" s="869"/>
      <c r="C123" s="870"/>
      <c r="D123" s="886"/>
      <c r="E123" s="886"/>
      <c r="F123" s="886"/>
      <c r="G123" s="871"/>
      <c r="H123" s="872"/>
      <c r="I123" s="872"/>
      <c r="J123" s="871"/>
      <c r="K123" s="871"/>
      <c r="L123" s="863" t="s">
        <v>279</v>
      </c>
      <c r="M123" s="864"/>
      <c r="N123" s="863" t="s">
        <v>280</v>
      </c>
      <c r="O123" s="864"/>
      <c r="P123" s="499">
        <v>243</v>
      </c>
      <c r="Q123" s="498">
        <v>9.5744680851063829E-2</v>
      </c>
      <c r="R123" s="862"/>
      <c r="S123" s="652"/>
      <c r="T123" s="652"/>
    </row>
    <row r="124" spans="2:20" ht="31.5" customHeight="1" x14ac:dyDescent="0.2">
      <c r="B124" s="867">
        <v>37214108</v>
      </c>
      <c r="C124" s="868"/>
      <c r="D124" s="886" t="s">
        <v>296</v>
      </c>
      <c r="E124" s="886"/>
      <c r="F124" s="886"/>
      <c r="G124" s="871" t="s">
        <v>287</v>
      </c>
      <c r="H124" s="872" t="s">
        <v>284</v>
      </c>
      <c r="I124" s="872"/>
      <c r="J124" s="871">
        <v>12</v>
      </c>
      <c r="K124" s="871">
        <v>32</v>
      </c>
      <c r="L124" s="863" t="s">
        <v>980</v>
      </c>
      <c r="M124" s="864"/>
      <c r="N124" s="863" t="s">
        <v>295</v>
      </c>
      <c r="O124" s="864"/>
      <c r="P124" s="496">
        <v>54</v>
      </c>
      <c r="Q124" s="497">
        <v>2.1276595744680851E-2</v>
      </c>
      <c r="R124" s="861">
        <v>1</v>
      </c>
      <c r="S124" s="652"/>
      <c r="T124" s="652"/>
    </row>
    <row r="125" spans="2:20" ht="19.5" customHeight="1" x14ac:dyDescent="0.2">
      <c r="B125" s="869"/>
      <c r="C125" s="870"/>
      <c r="D125" s="886"/>
      <c r="E125" s="886"/>
      <c r="F125" s="886"/>
      <c r="G125" s="871"/>
      <c r="H125" s="872"/>
      <c r="I125" s="872"/>
      <c r="J125" s="871"/>
      <c r="K125" s="871"/>
      <c r="L125" s="863" t="s">
        <v>262</v>
      </c>
      <c r="M125" s="864"/>
      <c r="N125" s="863" t="s">
        <v>263</v>
      </c>
      <c r="O125" s="864"/>
      <c r="P125" s="500">
        <v>162</v>
      </c>
      <c r="Q125" s="501">
        <v>6.3829787234042548E-2</v>
      </c>
      <c r="R125" s="862"/>
      <c r="S125" s="652"/>
      <c r="T125" s="652"/>
    </row>
    <row r="126" spans="2:20" ht="31.5" customHeight="1" x14ac:dyDescent="0.2">
      <c r="B126" s="863">
        <v>37214109</v>
      </c>
      <c r="C126" s="864"/>
      <c r="D126" s="886" t="s">
        <v>297</v>
      </c>
      <c r="E126" s="886"/>
      <c r="F126" s="886"/>
      <c r="G126" s="627" t="s">
        <v>268</v>
      </c>
      <c r="H126" s="872" t="s">
        <v>284</v>
      </c>
      <c r="I126" s="872"/>
      <c r="J126" s="627">
        <v>6</v>
      </c>
      <c r="K126" s="627">
        <v>72</v>
      </c>
      <c r="L126" s="863" t="s">
        <v>981</v>
      </c>
      <c r="M126" s="864"/>
      <c r="N126" s="863" t="s">
        <v>275</v>
      </c>
      <c r="O126" s="864"/>
      <c r="P126" s="499">
        <v>189</v>
      </c>
      <c r="Q126" s="498">
        <v>7.4499999999999997E-2</v>
      </c>
      <c r="R126" s="71">
        <v>1</v>
      </c>
      <c r="S126" s="652"/>
      <c r="T126" s="652"/>
    </row>
    <row r="127" spans="2:20" ht="31.5" customHeight="1" x14ac:dyDescent="0.2">
      <c r="B127" s="863">
        <v>37214110</v>
      </c>
      <c r="C127" s="864"/>
      <c r="D127" s="886" t="s">
        <v>298</v>
      </c>
      <c r="E127" s="886"/>
      <c r="F127" s="886"/>
      <c r="G127" s="627" t="s">
        <v>287</v>
      </c>
      <c r="H127" s="872" t="s">
        <v>284</v>
      </c>
      <c r="I127" s="872"/>
      <c r="J127" s="627">
        <v>6</v>
      </c>
      <c r="K127" s="627">
        <v>18</v>
      </c>
      <c r="L127" s="863" t="s">
        <v>274</v>
      </c>
      <c r="M127" s="864"/>
      <c r="N127" s="863" t="s">
        <v>275</v>
      </c>
      <c r="O127" s="864"/>
      <c r="P127" s="499">
        <v>333</v>
      </c>
      <c r="Q127" s="498">
        <v>0.13120567375886524</v>
      </c>
      <c r="R127" s="71">
        <v>1</v>
      </c>
      <c r="S127" s="652"/>
      <c r="T127" s="652"/>
    </row>
    <row r="128" spans="2:20" ht="23.25" customHeight="1" x14ac:dyDescent="0.2">
      <c r="B128" s="867">
        <v>37214111</v>
      </c>
      <c r="C128" s="868"/>
      <c r="D128" s="886" t="s">
        <v>299</v>
      </c>
      <c r="E128" s="886"/>
      <c r="F128" s="886"/>
      <c r="G128" s="871" t="s">
        <v>300</v>
      </c>
      <c r="H128" s="872" t="s">
        <v>284</v>
      </c>
      <c r="I128" s="872"/>
      <c r="J128" s="871">
        <v>6</v>
      </c>
      <c r="K128" s="871">
        <v>24</v>
      </c>
      <c r="L128" s="863" t="s">
        <v>279</v>
      </c>
      <c r="M128" s="864"/>
      <c r="N128" s="863" t="s">
        <v>280</v>
      </c>
      <c r="O128" s="864"/>
      <c r="P128" s="499">
        <v>243</v>
      </c>
      <c r="Q128" s="498">
        <v>9.5744680851063829E-2</v>
      </c>
      <c r="R128" s="861">
        <v>1</v>
      </c>
      <c r="S128" s="652"/>
      <c r="T128" s="652"/>
    </row>
    <row r="129" spans="2:20" ht="21.75" customHeight="1" x14ac:dyDescent="0.2">
      <c r="B129" s="869"/>
      <c r="C129" s="870"/>
      <c r="D129" s="886"/>
      <c r="E129" s="886"/>
      <c r="F129" s="886"/>
      <c r="G129" s="871"/>
      <c r="H129" s="872"/>
      <c r="I129" s="872"/>
      <c r="J129" s="871"/>
      <c r="K129" s="871"/>
      <c r="L129" s="863" t="s">
        <v>274</v>
      </c>
      <c r="M129" s="864"/>
      <c r="N129" s="863" t="s">
        <v>275</v>
      </c>
      <c r="O129" s="864"/>
      <c r="P129" s="499">
        <v>333</v>
      </c>
      <c r="Q129" s="498">
        <v>0.13120567375886524</v>
      </c>
      <c r="R129" s="862"/>
      <c r="S129" s="652"/>
      <c r="T129" s="652"/>
    </row>
    <row r="130" spans="2:20" ht="36" customHeight="1" x14ac:dyDescent="0.2">
      <c r="B130" s="865">
        <v>37214112</v>
      </c>
      <c r="C130" s="866"/>
      <c r="D130" s="886" t="s">
        <v>301</v>
      </c>
      <c r="E130" s="886"/>
      <c r="F130" s="886"/>
      <c r="G130" s="627" t="s">
        <v>287</v>
      </c>
      <c r="H130" s="872" t="s">
        <v>284</v>
      </c>
      <c r="I130" s="872"/>
      <c r="J130" s="627">
        <v>6</v>
      </c>
      <c r="K130" s="627">
        <v>25</v>
      </c>
      <c r="L130" s="863" t="s">
        <v>262</v>
      </c>
      <c r="M130" s="864"/>
      <c r="N130" s="863" t="s">
        <v>263</v>
      </c>
      <c r="O130" s="864"/>
      <c r="P130" s="500">
        <v>162</v>
      </c>
      <c r="Q130" s="501">
        <v>6.3829787234042548E-2</v>
      </c>
      <c r="R130" s="71">
        <v>1</v>
      </c>
      <c r="S130" s="652"/>
      <c r="T130" s="652"/>
    </row>
    <row r="131" spans="2:20" ht="31.5" customHeight="1" x14ac:dyDescent="0.2">
      <c r="B131" s="863">
        <v>37214113</v>
      </c>
      <c r="C131" s="864"/>
      <c r="D131" s="886" t="s">
        <v>302</v>
      </c>
      <c r="E131" s="886"/>
      <c r="F131" s="886"/>
      <c r="G131" s="627" t="s">
        <v>287</v>
      </c>
      <c r="H131" s="872" t="s">
        <v>284</v>
      </c>
      <c r="I131" s="872"/>
      <c r="J131" s="627">
        <v>6</v>
      </c>
      <c r="K131" s="627">
        <v>24</v>
      </c>
      <c r="L131" s="863" t="s">
        <v>982</v>
      </c>
      <c r="M131" s="864"/>
      <c r="N131" s="863" t="s">
        <v>304</v>
      </c>
      <c r="O131" s="864"/>
      <c r="P131" s="499">
        <v>72</v>
      </c>
      <c r="Q131" s="498">
        <v>2.8368794326241134E-2</v>
      </c>
      <c r="R131" s="71">
        <v>1</v>
      </c>
      <c r="S131" s="652"/>
      <c r="T131" s="652"/>
    </row>
    <row r="132" spans="2:20" ht="28.5" customHeight="1" x14ac:dyDescent="0.2">
      <c r="B132" s="863">
        <v>37214114</v>
      </c>
      <c r="C132" s="864"/>
      <c r="D132" s="886" t="s">
        <v>303</v>
      </c>
      <c r="E132" s="886"/>
      <c r="F132" s="886"/>
      <c r="G132" s="627" t="s">
        <v>287</v>
      </c>
      <c r="H132" s="872" t="s">
        <v>284</v>
      </c>
      <c r="I132" s="872"/>
      <c r="J132" s="627">
        <v>6</v>
      </c>
      <c r="K132" s="627">
        <v>23</v>
      </c>
      <c r="L132" s="873" t="s">
        <v>1247</v>
      </c>
      <c r="M132" s="874"/>
      <c r="N132" s="873" t="s">
        <v>983</v>
      </c>
      <c r="O132" s="874"/>
      <c r="P132" s="496">
        <v>54</v>
      </c>
      <c r="Q132" s="497">
        <v>2.1276595744680851E-2</v>
      </c>
      <c r="R132" s="71">
        <v>1</v>
      </c>
      <c r="S132" s="652"/>
      <c r="T132" s="652"/>
    </row>
    <row r="133" spans="2:20" ht="30" customHeight="1" x14ac:dyDescent="0.2">
      <c r="B133" s="863">
        <v>37214115</v>
      </c>
      <c r="C133" s="864"/>
      <c r="D133" s="886" t="s">
        <v>305</v>
      </c>
      <c r="E133" s="886"/>
      <c r="F133" s="886"/>
      <c r="G133" s="627" t="s">
        <v>300</v>
      </c>
      <c r="H133" s="872" t="s">
        <v>284</v>
      </c>
      <c r="I133" s="872"/>
      <c r="J133" s="627">
        <v>6</v>
      </c>
      <c r="K133" s="627">
        <v>19</v>
      </c>
      <c r="L133" s="863" t="s">
        <v>981</v>
      </c>
      <c r="M133" s="864"/>
      <c r="N133" s="863" t="s">
        <v>275</v>
      </c>
      <c r="O133" s="864"/>
      <c r="P133" s="499">
        <v>189</v>
      </c>
      <c r="Q133" s="498">
        <v>7.4499999999999997E-2</v>
      </c>
      <c r="R133" s="71">
        <v>1</v>
      </c>
      <c r="S133" s="652"/>
      <c r="T133" s="652"/>
    </row>
    <row r="134" spans="2:20" ht="31.5" customHeight="1" x14ac:dyDescent="0.2">
      <c r="B134" s="867">
        <v>37214116</v>
      </c>
      <c r="C134" s="868"/>
      <c r="D134" s="886" t="s">
        <v>306</v>
      </c>
      <c r="E134" s="886"/>
      <c r="F134" s="886"/>
      <c r="G134" s="871" t="s">
        <v>268</v>
      </c>
      <c r="H134" s="872" t="s">
        <v>284</v>
      </c>
      <c r="I134" s="872"/>
      <c r="J134" s="871">
        <v>6</v>
      </c>
      <c r="K134" s="871">
        <v>48</v>
      </c>
      <c r="L134" s="863" t="s">
        <v>1248</v>
      </c>
      <c r="M134" s="864"/>
      <c r="N134" s="863" t="s">
        <v>271</v>
      </c>
      <c r="O134" s="864"/>
      <c r="P134" s="499">
        <v>27</v>
      </c>
      <c r="Q134" s="498">
        <v>1.0638297872340425E-2</v>
      </c>
      <c r="R134" s="861">
        <v>1</v>
      </c>
      <c r="S134" s="652"/>
      <c r="T134" s="652"/>
    </row>
    <row r="135" spans="2:20" ht="31.5" customHeight="1" x14ac:dyDescent="0.2">
      <c r="B135" s="869"/>
      <c r="C135" s="870"/>
      <c r="D135" s="886"/>
      <c r="E135" s="886"/>
      <c r="F135" s="886"/>
      <c r="G135" s="871"/>
      <c r="H135" s="872"/>
      <c r="I135" s="872"/>
      <c r="J135" s="871"/>
      <c r="K135" s="871"/>
      <c r="L135" s="863" t="s">
        <v>307</v>
      </c>
      <c r="M135" s="864"/>
      <c r="N135" s="863" t="s">
        <v>271</v>
      </c>
      <c r="O135" s="864"/>
      <c r="P135" s="496">
        <v>81</v>
      </c>
      <c r="Q135" s="497">
        <v>3.1914893617021274E-2</v>
      </c>
      <c r="R135" s="862"/>
      <c r="S135" s="652"/>
      <c r="T135" s="652"/>
    </row>
    <row r="136" spans="2:20" ht="35.25" customHeight="1" x14ac:dyDescent="0.2">
      <c r="B136" s="863">
        <v>37214117</v>
      </c>
      <c r="C136" s="864"/>
      <c r="D136" s="886" t="s">
        <v>308</v>
      </c>
      <c r="E136" s="886"/>
      <c r="F136" s="886"/>
      <c r="G136" s="627" t="s">
        <v>287</v>
      </c>
      <c r="H136" s="872" t="s">
        <v>284</v>
      </c>
      <c r="I136" s="872"/>
      <c r="J136" s="627">
        <v>6</v>
      </c>
      <c r="K136" s="627">
        <v>21</v>
      </c>
      <c r="L136" s="863" t="s">
        <v>990</v>
      </c>
      <c r="M136" s="864"/>
      <c r="N136" s="863" t="s">
        <v>271</v>
      </c>
      <c r="O136" s="864"/>
      <c r="P136" s="496">
        <v>135</v>
      </c>
      <c r="Q136" s="497">
        <v>5.3191489361702128E-2</v>
      </c>
      <c r="R136" s="71">
        <v>1</v>
      </c>
      <c r="S136" s="652"/>
      <c r="T136" s="652"/>
    </row>
    <row r="137" spans="2:20" ht="31.5" customHeight="1" x14ac:dyDescent="0.2">
      <c r="B137" s="867">
        <v>37214118</v>
      </c>
      <c r="C137" s="868"/>
      <c r="D137" s="886" t="s">
        <v>309</v>
      </c>
      <c r="E137" s="886"/>
      <c r="F137" s="886"/>
      <c r="G137" s="871" t="s">
        <v>287</v>
      </c>
      <c r="H137" s="872" t="s">
        <v>284</v>
      </c>
      <c r="I137" s="872"/>
      <c r="J137" s="871">
        <v>6</v>
      </c>
      <c r="K137" s="871">
        <v>24</v>
      </c>
      <c r="L137" s="863" t="s">
        <v>310</v>
      </c>
      <c r="M137" s="864"/>
      <c r="N137" s="863" t="s">
        <v>271</v>
      </c>
      <c r="O137" s="864"/>
      <c r="P137" s="499">
        <v>27</v>
      </c>
      <c r="Q137" s="498">
        <v>1.0638297872340425E-2</v>
      </c>
      <c r="R137" s="861">
        <v>1</v>
      </c>
      <c r="S137" s="652"/>
      <c r="T137" s="652"/>
    </row>
    <row r="138" spans="2:20" ht="31.5" customHeight="1" x14ac:dyDescent="0.2">
      <c r="B138" s="869"/>
      <c r="C138" s="870"/>
      <c r="D138" s="886"/>
      <c r="E138" s="886"/>
      <c r="F138" s="886"/>
      <c r="G138" s="871"/>
      <c r="H138" s="872"/>
      <c r="I138" s="872"/>
      <c r="J138" s="871"/>
      <c r="K138" s="871"/>
      <c r="L138" s="863" t="s">
        <v>311</v>
      </c>
      <c r="M138" s="864"/>
      <c r="N138" s="863" t="s">
        <v>271</v>
      </c>
      <c r="O138" s="864"/>
      <c r="P138" s="499">
        <v>27</v>
      </c>
      <c r="Q138" s="498">
        <v>1.0638297872340425E-2</v>
      </c>
      <c r="R138" s="862"/>
      <c r="S138" s="652"/>
      <c r="T138" s="652"/>
    </row>
    <row r="139" spans="2:20" ht="31.5" customHeight="1" x14ac:dyDescent="0.2">
      <c r="B139" s="863">
        <v>37214119</v>
      </c>
      <c r="C139" s="864"/>
      <c r="D139" s="886" t="s">
        <v>312</v>
      </c>
      <c r="E139" s="886"/>
      <c r="F139" s="886"/>
      <c r="G139" s="627" t="s">
        <v>300</v>
      </c>
      <c r="H139" s="872" t="s">
        <v>284</v>
      </c>
      <c r="I139" s="872"/>
      <c r="J139" s="627">
        <v>6</v>
      </c>
      <c r="K139" s="627">
        <v>20</v>
      </c>
      <c r="L139" s="863" t="s">
        <v>307</v>
      </c>
      <c r="M139" s="864"/>
      <c r="N139" s="863" t="s">
        <v>271</v>
      </c>
      <c r="O139" s="864"/>
      <c r="P139" s="496">
        <v>81</v>
      </c>
      <c r="Q139" s="497">
        <v>3.1914893617021274E-2</v>
      </c>
      <c r="R139" s="71">
        <v>1</v>
      </c>
      <c r="S139" s="652"/>
      <c r="T139" s="652"/>
    </row>
    <row r="140" spans="2:20" ht="43.5" customHeight="1" x14ac:dyDescent="0.2">
      <c r="B140" s="863">
        <v>37214120</v>
      </c>
      <c r="C140" s="864"/>
      <c r="D140" s="886" t="s">
        <v>313</v>
      </c>
      <c r="E140" s="886"/>
      <c r="F140" s="886"/>
      <c r="G140" s="627" t="s">
        <v>300</v>
      </c>
      <c r="H140" s="872" t="s">
        <v>284</v>
      </c>
      <c r="I140" s="872"/>
      <c r="J140" s="627">
        <v>6</v>
      </c>
      <c r="K140" s="627">
        <v>19</v>
      </c>
      <c r="L140" s="863" t="s">
        <v>290</v>
      </c>
      <c r="M140" s="864"/>
      <c r="N140" s="863" t="s">
        <v>280</v>
      </c>
      <c r="O140" s="864"/>
      <c r="P140" s="499">
        <v>135</v>
      </c>
      <c r="Q140" s="498">
        <v>5.3191489361702128E-2</v>
      </c>
      <c r="R140" s="71">
        <v>1</v>
      </c>
      <c r="S140" s="652"/>
      <c r="T140" s="652"/>
    </row>
    <row r="141" spans="2:20" ht="42.75" customHeight="1" x14ac:dyDescent="0.2">
      <c r="B141" s="865">
        <v>37214121</v>
      </c>
      <c r="C141" s="866"/>
      <c r="D141" s="886" t="s">
        <v>314</v>
      </c>
      <c r="E141" s="886"/>
      <c r="F141" s="886"/>
      <c r="G141" s="627" t="s">
        <v>287</v>
      </c>
      <c r="H141" s="872" t="s">
        <v>284</v>
      </c>
      <c r="I141" s="872"/>
      <c r="J141" s="627">
        <v>6</v>
      </c>
      <c r="K141" s="627">
        <v>20</v>
      </c>
      <c r="L141" s="863" t="s">
        <v>315</v>
      </c>
      <c r="M141" s="864"/>
      <c r="N141" s="863" t="s">
        <v>271</v>
      </c>
      <c r="O141" s="864"/>
      <c r="P141" s="496">
        <v>54</v>
      </c>
      <c r="Q141" s="497">
        <v>2.1276595744680851E-2</v>
      </c>
      <c r="R141" s="71">
        <v>1</v>
      </c>
      <c r="S141" s="652"/>
      <c r="T141" s="652"/>
    </row>
    <row r="142" spans="2:20" ht="31.5" customHeight="1" x14ac:dyDescent="0.2">
      <c r="B142" s="882">
        <v>37214201</v>
      </c>
      <c r="C142" s="883"/>
      <c r="D142" s="886" t="s">
        <v>316</v>
      </c>
      <c r="E142" s="886"/>
      <c r="F142" s="886"/>
      <c r="G142" s="871" t="s">
        <v>300</v>
      </c>
      <c r="H142" s="872" t="s">
        <v>317</v>
      </c>
      <c r="I142" s="872"/>
      <c r="J142" s="871">
        <v>6</v>
      </c>
      <c r="K142" s="871">
        <v>8</v>
      </c>
      <c r="L142" s="863" t="s">
        <v>981</v>
      </c>
      <c r="M142" s="864"/>
      <c r="N142" s="863" t="s">
        <v>275</v>
      </c>
      <c r="O142" s="864"/>
      <c r="P142" s="499">
        <v>189</v>
      </c>
      <c r="Q142" s="498">
        <v>7.4499999999999997E-2</v>
      </c>
      <c r="R142" s="861">
        <v>1</v>
      </c>
      <c r="S142" s="652"/>
      <c r="T142" s="652"/>
    </row>
    <row r="143" spans="2:20" ht="31.5" customHeight="1" x14ac:dyDescent="0.2">
      <c r="B143" s="884"/>
      <c r="C143" s="885"/>
      <c r="D143" s="886"/>
      <c r="E143" s="886"/>
      <c r="F143" s="886"/>
      <c r="G143" s="871"/>
      <c r="H143" s="872"/>
      <c r="I143" s="872"/>
      <c r="J143" s="871"/>
      <c r="K143" s="871"/>
      <c r="L143" s="863" t="s">
        <v>984</v>
      </c>
      <c r="M143" s="864"/>
      <c r="N143" s="863" t="s">
        <v>295</v>
      </c>
      <c r="O143" s="864"/>
      <c r="P143" s="496">
        <v>45</v>
      </c>
      <c r="Q143" s="497">
        <v>1.7730496453900711E-2</v>
      </c>
      <c r="R143" s="862"/>
      <c r="S143" s="652"/>
      <c r="T143" s="652"/>
    </row>
    <row r="144" spans="2:20" ht="45.75" customHeight="1" x14ac:dyDescent="0.2">
      <c r="B144" s="867">
        <v>37214204</v>
      </c>
      <c r="C144" s="868"/>
      <c r="D144" s="964" t="s">
        <v>1470</v>
      </c>
      <c r="E144" s="965"/>
      <c r="F144" s="966"/>
      <c r="G144" s="970" t="s">
        <v>300</v>
      </c>
      <c r="H144" s="867" t="s">
        <v>317</v>
      </c>
      <c r="I144" s="868"/>
      <c r="J144" s="970">
        <v>6</v>
      </c>
      <c r="K144" s="970">
        <v>13</v>
      </c>
      <c r="L144" s="867" t="s">
        <v>262</v>
      </c>
      <c r="M144" s="868"/>
      <c r="N144" s="873" t="s">
        <v>263</v>
      </c>
      <c r="O144" s="874"/>
      <c r="P144" s="500">
        <v>162</v>
      </c>
      <c r="Q144" s="501">
        <v>6.3829787234042548E-2</v>
      </c>
      <c r="R144" s="861">
        <v>1</v>
      </c>
      <c r="S144" s="652"/>
      <c r="T144" s="652"/>
    </row>
    <row r="145" spans="2:24" ht="45.75" customHeight="1" x14ac:dyDescent="0.2">
      <c r="B145" s="869"/>
      <c r="C145" s="870"/>
      <c r="D145" s="967"/>
      <c r="E145" s="968"/>
      <c r="F145" s="969"/>
      <c r="G145" s="971"/>
      <c r="H145" s="869"/>
      <c r="I145" s="870"/>
      <c r="J145" s="971"/>
      <c r="K145" s="971"/>
      <c r="L145" s="872" t="s">
        <v>1250</v>
      </c>
      <c r="M145" s="872"/>
      <c r="N145" s="873" t="s">
        <v>1251</v>
      </c>
      <c r="O145" s="874"/>
      <c r="P145" s="500">
        <v>36</v>
      </c>
      <c r="Q145" s="501">
        <v>1.4200000000000001E-2</v>
      </c>
      <c r="R145" s="862"/>
      <c r="S145" s="652"/>
      <c r="T145" s="652"/>
      <c r="X145" s="502"/>
    </row>
    <row r="146" spans="2:24" ht="45.75" customHeight="1" x14ac:dyDescent="0.2">
      <c r="B146" s="863">
        <v>37214206</v>
      </c>
      <c r="C146" s="864"/>
      <c r="D146" s="886" t="s">
        <v>1471</v>
      </c>
      <c r="E146" s="886"/>
      <c r="F146" s="886"/>
      <c r="G146" s="627" t="s">
        <v>300</v>
      </c>
      <c r="H146" s="872" t="s">
        <v>317</v>
      </c>
      <c r="I146" s="872"/>
      <c r="J146" s="627">
        <v>6</v>
      </c>
      <c r="K146" s="627">
        <v>8</v>
      </c>
      <c r="L146" s="863" t="s">
        <v>1249</v>
      </c>
      <c r="M146" s="864"/>
      <c r="N146" s="873" t="s">
        <v>275</v>
      </c>
      <c r="O146" s="874"/>
      <c r="P146" s="499">
        <v>333</v>
      </c>
      <c r="Q146" s="498">
        <v>0.13120567375886524</v>
      </c>
      <c r="R146" s="71">
        <v>1</v>
      </c>
      <c r="S146" s="652"/>
      <c r="T146" s="652"/>
    </row>
    <row r="147" spans="2:24" ht="41.25" customHeight="1" x14ac:dyDescent="0.2">
      <c r="B147" s="867">
        <v>37214203</v>
      </c>
      <c r="C147" s="868"/>
      <c r="D147" s="886" t="s">
        <v>318</v>
      </c>
      <c r="E147" s="886"/>
      <c r="F147" s="886"/>
      <c r="G147" s="871" t="s">
        <v>300</v>
      </c>
      <c r="H147" s="872" t="s">
        <v>317</v>
      </c>
      <c r="I147" s="872"/>
      <c r="J147" s="871">
        <v>6</v>
      </c>
      <c r="K147" s="871">
        <v>12</v>
      </c>
      <c r="L147" s="863" t="s">
        <v>292</v>
      </c>
      <c r="M147" s="864"/>
      <c r="N147" s="863" t="s">
        <v>271</v>
      </c>
      <c r="O147" s="864"/>
      <c r="P147" s="496">
        <v>108</v>
      </c>
      <c r="Q147" s="497">
        <v>4.2553191489361701E-2</v>
      </c>
      <c r="R147" s="71">
        <v>1</v>
      </c>
      <c r="S147" s="652"/>
      <c r="T147" s="652"/>
    </row>
    <row r="148" spans="2:24" ht="41.25" customHeight="1" x14ac:dyDescent="0.2">
      <c r="B148" s="869"/>
      <c r="C148" s="870"/>
      <c r="D148" s="886"/>
      <c r="E148" s="886"/>
      <c r="F148" s="886"/>
      <c r="G148" s="871"/>
      <c r="H148" s="872"/>
      <c r="I148" s="872"/>
      <c r="J148" s="871"/>
      <c r="K148" s="871"/>
      <c r="L148" s="863" t="s">
        <v>990</v>
      </c>
      <c r="M148" s="864"/>
      <c r="N148" s="863" t="s">
        <v>271</v>
      </c>
      <c r="O148" s="864"/>
      <c r="P148" s="496">
        <v>135</v>
      </c>
      <c r="Q148" s="497">
        <v>5.3191489361702128E-2</v>
      </c>
      <c r="R148" s="71">
        <v>1</v>
      </c>
      <c r="S148" s="652"/>
      <c r="T148" s="652"/>
    </row>
    <row r="149" spans="2:24" ht="21" customHeight="1" x14ac:dyDescent="0.2">
      <c r="B149" s="867">
        <v>37214301</v>
      </c>
      <c r="C149" s="868"/>
      <c r="D149" s="886" t="s">
        <v>319</v>
      </c>
      <c r="E149" s="886"/>
      <c r="F149" s="886"/>
      <c r="G149" s="871" t="s">
        <v>300</v>
      </c>
      <c r="H149" s="872" t="s">
        <v>284</v>
      </c>
      <c r="I149" s="872"/>
      <c r="J149" s="871">
        <v>12</v>
      </c>
      <c r="K149" s="871">
        <v>24</v>
      </c>
      <c r="L149" s="863" t="s">
        <v>279</v>
      </c>
      <c r="M149" s="864"/>
      <c r="N149" s="863" t="s">
        <v>280</v>
      </c>
      <c r="O149" s="864"/>
      <c r="P149" s="499">
        <v>243</v>
      </c>
      <c r="Q149" s="498">
        <v>9.5744680851063829E-2</v>
      </c>
      <c r="R149" s="861">
        <v>1</v>
      </c>
      <c r="S149" s="652"/>
      <c r="T149" s="652"/>
    </row>
    <row r="150" spans="2:24" ht="21" customHeight="1" x14ac:dyDescent="0.2">
      <c r="B150" s="935"/>
      <c r="C150" s="936"/>
      <c r="D150" s="886"/>
      <c r="E150" s="886"/>
      <c r="F150" s="886"/>
      <c r="G150" s="871"/>
      <c r="H150" s="872"/>
      <c r="I150" s="872"/>
      <c r="J150" s="871"/>
      <c r="K150" s="871"/>
      <c r="L150" s="863" t="s">
        <v>1243</v>
      </c>
      <c r="M150" s="864"/>
      <c r="N150" s="863" t="s">
        <v>983</v>
      </c>
      <c r="O150" s="864"/>
      <c r="P150" s="496">
        <v>54</v>
      </c>
      <c r="Q150" s="497">
        <v>2.1299999999999999E-2</v>
      </c>
      <c r="R150" s="875"/>
      <c r="S150" s="652"/>
      <c r="T150" s="652"/>
    </row>
    <row r="151" spans="2:24" ht="27" customHeight="1" x14ac:dyDescent="0.2">
      <c r="B151" s="935"/>
      <c r="C151" s="936"/>
      <c r="D151" s="886"/>
      <c r="E151" s="886"/>
      <c r="F151" s="886"/>
      <c r="G151" s="871"/>
      <c r="H151" s="872"/>
      <c r="I151" s="872"/>
      <c r="J151" s="871"/>
      <c r="K151" s="871"/>
      <c r="L151" s="863" t="s">
        <v>265</v>
      </c>
      <c r="M151" s="864"/>
      <c r="N151" s="863" t="s">
        <v>266</v>
      </c>
      <c r="O151" s="864"/>
      <c r="P151" s="499">
        <v>144</v>
      </c>
      <c r="Q151" s="498">
        <v>5.67E-2</v>
      </c>
      <c r="R151" s="875"/>
      <c r="S151" s="652"/>
      <c r="T151" s="652"/>
    </row>
    <row r="152" spans="2:24" ht="24.5" customHeight="1" x14ac:dyDescent="0.2">
      <c r="B152" s="935"/>
      <c r="C152" s="936"/>
      <c r="D152" s="886"/>
      <c r="E152" s="886"/>
      <c r="F152" s="886"/>
      <c r="G152" s="871"/>
      <c r="H152" s="872"/>
      <c r="I152" s="872"/>
      <c r="J152" s="871"/>
      <c r="K152" s="871"/>
      <c r="L152" s="863" t="s">
        <v>262</v>
      </c>
      <c r="M152" s="864"/>
      <c r="N152" s="863" t="s">
        <v>263</v>
      </c>
      <c r="O152" s="864"/>
      <c r="P152" s="499">
        <v>162</v>
      </c>
      <c r="Q152" s="498">
        <v>6.3829787234042548E-2</v>
      </c>
      <c r="R152" s="875"/>
      <c r="S152" s="652"/>
      <c r="T152" s="652"/>
    </row>
    <row r="153" spans="2:24" ht="23.5" customHeight="1" x14ac:dyDescent="0.2">
      <c r="B153" s="935"/>
      <c r="C153" s="936"/>
      <c r="D153" s="886"/>
      <c r="E153" s="886"/>
      <c r="F153" s="886"/>
      <c r="G153" s="871"/>
      <c r="H153" s="872"/>
      <c r="I153" s="872"/>
      <c r="J153" s="871"/>
      <c r="K153" s="871"/>
      <c r="L153" s="863" t="s">
        <v>1246</v>
      </c>
      <c r="M153" s="864"/>
      <c r="N153" s="863" t="s">
        <v>983</v>
      </c>
      <c r="O153" s="864"/>
      <c r="P153" s="496">
        <v>99</v>
      </c>
      <c r="Q153" s="497">
        <v>3.9007092198581561E-2</v>
      </c>
      <c r="R153" s="875"/>
      <c r="S153" s="652"/>
      <c r="T153" s="652"/>
    </row>
    <row r="154" spans="2:24" ht="23.5" customHeight="1" x14ac:dyDescent="0.2">
      <c r="B154" s="935"/>
      <c r="C154" s="936"/>
      <c r="D154" s="886"/>
      <c r="E154" s="886"/>
      <c r="F154" s="886"/>
      <c r="G154" s="871"/>
      <c r="H154" s="872"/>
      <c r="I154" s="872"/>
      <c r="J154" s="871"/>
      <c r="K154" s="871"/>
      <c r="L154" s="863" t="s">
        <v>982</v>
      </c>
      <c r="M154" s="864"/>
      <c r="N154" s="863" t="s">
        <v>983</v>
      </c>
      <c r="O154" s="864"/>
      <c r="P154" s="496">
        <v>72</v>
      </c>
      <c r="Q154" s="497">
        <v>2.8368794326241134E-2</v>
      </c>
      <c r="R154" s="875"/>
      <c r="S154" s="652"/>
      <c r="T154" s="652"/>
    </row>
    <row r="155" spans="2:24" ht="23.5" customHeight="1" x14ac:dyDescent="0.2">
      <c r="B155" s="935"/>
      <c r="C155" s="936"/>
      <c r="D155" s="886"/>
      <c r="E155" s="886"/>
      <c r="F155" s="886"/>
      <c r="G155" s="871"/>
      <c r="H155" s="872"/>
      <c r="I155" s="872"/>
      <c r="J155" s="871"/>
      <c r="K155" s="871"/>
      <c r="L155" s="863" t="s">
        <v>1245</v>
      </c>
      <c r="M155" s="864"/>
      <c r="N155" s="863" t="s">
        <v>275</v>
      </c>
      <c r="O155" s="864"/>
      <c r="P155" s="496">
        <v>171</v>
      </c>
      <c r="Q155" s="497">
        <v>6.7375886524822695E-2</v>
      </c>
      <c r="R155" s="875"/>
      <c r="S155" s="652"/>
      <c r="T155" s="652"/>
    </row>
    <row r="156" spans="2:24" ht="25.5" customHeight="1" x14ac:dyDescent="0.2">
      <c r="B156" s="869"/>
      <c r="C156" s="870"/>
      <c r="D156" s="886"/>
      <c r="E156" s="886"/>
      <c r="F156" s="886"/>
      <c r="G156" s="871"/>
      <c r="H156" s="872"/>
      <c r="I156" s="872"/>
      <c r="J156" s="871"/>
      <c r="K156" s="871"/>
      <c r="L156" s="863" t="s">
        <v>981</v>
      </c>
      <c r="M156" s="864"/>
      <c r="N156" s="863" t="s">
        <v>275</v>
      </c>
      <c r="O156" s="864"/>
      <c r="P156" s="496">
        <v>189</v>
      </c>
      <c r="Q156" s="497">
        <v>7.4499999999999997E-2</v>
      </c>
      <c r="R156" s="862"/>
      <c r="S156" s="652"/>
      <c r="T156" s="652"/>
    </row>
    <row r="157" spans="2:24" ht="31.5" customHeight="1" x14ac:dyDescent="0.2">
      <c r="B157" s="867">
        <v>37214401</v>
      </c>
      <c r="C157" s="868"/>
      <c r="D157" s="886" t="s">
        <v>320</v>
      </c>
      <c r="E157" s="886"/>
      <c r="F157" s="886"/>
      <c r="G157" s="871" t="s">
        <v>300</v>
      </c>
      <c r="H157" s="872" t="s">
        <v>284</v>
      </c>
      <c r="I157" s="872"/>
      <c r="J157" s="871">
        <v>12</v>
      </c>
      <c r="K157" s="871">
        <v>13</v>
      </c>
      <c r="L157" s="863" t="s">
        <v>279</v>
      </c>
      <c r="M157" s="864"/>
      <c r="N157" s="863" t="s">
        <v>280</v>
      </c>
      <c r="O157" s="864"/>
      <c r="P157" s="496">
        <v>243</v>
      </c>
      <c r="Q157" s="497">
        <v>9.5744680851063829E-2</v>
      </c>
      <c r="R157" s="861">
        <v>1</v>
      </c>
      <c r="S157" s="652"/>
      <c r="T157" s="652"/>
    </row>
    <row r="158" spans="2:24" ht="31.5" customHeight="1" x14ac:dyDescent="0.2">
      <c r="B158" s="935"/>
      <c r="C158" s="936"/>
      <c r="D158" s="886"/>
      <c r="E158" s="886"/>
      <c r="F158" s="886"/>
      <c r="G158" s="871"/>
      <c r="H158" s="872"/>
      <c r="I158" s="872"/>
      <c r="J158" s="871"/>
      <c r="K158" s="871"/>
      <c r="L158" s="863" t="s">
        <v>1243</v>
      </c>
      <c r="M158" s="864"/>
      <c r="N158" s="863" t="s">
        <v>983</v>
      </c>
      <c r="O158" s="864"/>
      <c r="P158" s="496">
        <v>54</v>
      </c>
      <c r="Q158" s="497">
        <v>2.1299999999999999E-2</v>
      </c>
      <c r="R158" s="875"/>
      <c r="S158" s="652"/>
      <c r="T158" s="652"/>
    </row>
    <row r="159" spans="2:24" ht="21" customHeight="1" x14ac:dyDescent="0.2">
      <c r="B159" s="935"/>
      <c r="C159" s="936"/>
      <c r="D159" s="886"/>
      <c r="E159" s="886"/>
      <c r="F159" s="886"/>
      <c r="G159" s="871"/>
      <c r="H159" s="872"/>
      <c r="I159" s="872"/>
      <c r="J159" s="871"/>
      <c r="K159" s="871"/>
      <c r="L159" s="863" t="s">
        <v>265</v>
      </c>
      <c r="M159" s="864"/>
      <c r="N159" s="863" t="s">
        <v>266</v>
      </c>
      <c r="O159" s="864"/>
      <c r="P159" s="496">
        <v>144</v>
      </c>
      <c r="Q159" s="497">
        <v>5.67E-2</v>
      </c>
      <c r="R159" s="875"/>
      <c r="S159" s="652"/>
      <c r="T159" s="652"/>
    </row>
    <row r="160" spans="2:24" ht="21" customHeight="1" x14ac:dyDescent="0.2">
      <c r="B160" s="935"/>
      <c r="C160" s="936"/>
      <c r="D160" s="886"/>
      <c r="E160" s="886"/>
      <c r="F160" s="886"/>
      <c r="G160" s="871"/>
      <c r="H160" s="872"/>
      <c r="I160" s="872"/>
      <c r="J160" s="871"/>
      <c r="K160" s="871"/>
      <c r="L160" s="863" t="s">
        <v>262</v>
      </c>
      <c r="M160" s="864"/>
      <c r="N160" s="863" t="s">
        <v>263</v>
      </c>
      <c r="O160" s="864"/>
      <c r="P160" s="496">
        <v>162</v>
      </c>
      <c r="Q160" s="497">
        <v>6.3829787234042548E-2</v>
      </c>
      <c r="R160" s="875"/>
      <c r="S160" s="652"/>
      <c r="T160" s="652"/>
    </row>
    <row r="161" spans="1:28" ht="21" customHeight="1" x14ac:dyDescent="0.2">
      <c r="B161" s="935"/>
      <c r="C161" s="936"/>
      <c r="D161" s="886"/>
      <c r="E161" s="886"/>
      <c r="F161" s="886"/>
      <c r="G161" s="871"/>
      <c r="H161" s="872"/>
      <c r="I161" s="872"/>
      <c r="J161" s="871"/>
      <c r="K161" s="871"/>
      <c r="L161" s="863" t="s">
        <v>1246</v>
      </c>
      <c r="M161" s="864"/>
      <c r="N161" s="863" t="s">
        <v>983</v>
      </c>
      <c r="O161" s="864"/>
      <c r="P161" s="496">
        <v>99</v>
      </c>
      <c r="Q161" s="497">
        <v>3.9007092198581561E-2</v>
      </c>
      <c r="R161" s="875"/>
      <c r="S161" s="652"/>
      <c r="T161" s="652"/>
    </row>
    <row r="162" spans="1:28" ht="31.5" customHeight="1" x14ac:dyDescent="0.2">
      <c r="B162" s="935"/>
      <c r="C162" s="936"/>
      <c r="D162" s="886"/>
      <c r="E162" s="886"/>
      <c r="F162" s="886"/>
      <c r="G162" s="871"/>
      <c r="H162" s="872"/>
      <c r="I162" s="872"/>
      <c r="J162" s="871"/>
      <c r="K162" s="871"/>
      <c r="L162" s="863" t="s">
        <v>982</v>
      </c>
      <c r="M162" s="864"/>
      <c r="N162" s="863" t="s">
        <v>983</v>
      </c>
      <c r="O162" s="864"/>
      <c r="P162" s="496">
        <v>72</v>
      </c>
      <c r="Q162" s="497">
        <v>2.8368794326241134E-2</v>
      </c>
      <c r="R162" s="875"/>
      <c r="S162" s="652"/>
      <c r="T162" s="652"/>
    </row>
    <row r="163" spans="1:28" ht="31.5" customHeight="1" x14ac:dyDescent="0.2">
      <c r="B163" s="935"/>
      <c r="C163" s="936"/>
      <c r="D163" s="886"/>
      <c r="E163" s="886"/>
      <c r="F163" s="886"/>
      <c r="G163" s="871"/>
      <c r="H163" s="872"/>
      <c r="I163" s="872"/>
      <c r="J163" s="871"/>
      <c r="K163" s="871"/>
      <c r="L163" s="863" t="s">
        <v>1245</v>
      </c>
      <c r="M163" s="864"/>
      <c r="N163" s="863" t="s">
        <v>275</v>
      </c>
      <c r="O163" s="864"/>
      <c r="P163" s="499">
        <v>171</v>
      </c>
      <c r="Q163" s="498">
        <v>6.7375886524822695E-2</v>
      </c>
      <c r="R163" s="875"/>
      <c r="S163" s="652"/>
      <c r="T163" s="652"/>
    </row>
    <row r="164" spans="1:28" ht="21" customHeight="1" x14ac:dyDescent="0.2">
      <c r="B164" s="869"/>
      <c r="C164" s="870"/>
      <c r="D164" s="886"/>
      <c r="E164" s="886"/>
      <c r="F164" s="886"/>
      <c r="G164" s="871"/>
      <c r="H164" s="872"/>
      <c r="I164" s="872"/>
      <c r="J164" s="871"/>
      <c r="K164" s="871"/>
      <c r="L164" s="863" t="s">
        <v>981</v>
      </c>
      <c r="M164" s="864"/>
      <c r="N164" s="863" t="s">
        <v>275</v>
      </c>
      <c r="O164" s="864"/>
      <c r="P164" s="499">
        <v>189</v>
      </c>
      <c r="Q164" s="498">
        <v>7.4499999999999997E-2</v>
      </c>
      <c r="R164" s="862"/>
      <c r="S164" s="652"/>
      <c r="T164" s="652"/>
    </row>
    <row r="165" spans="1:28" x14ac:dyDescent="0.2">
      <c r="B165" s="64"/>
      <c r="C165" s="156"/>
      <c r="D165" s="156"/>
      <c r="E165" s="64"/>
      <c r="F165" s="156"/>
      <c r="G165" s="157">
        <v>463</v>
      </c>
      <c r="H165" s="158"/>
      <c r="I165" s="159"/>
      <c r="J165" s="160">
        <f>SUMPRODUCT(IF(FREQUENCY(MATCH(L99:L164,L99:L164,0),MATCH(L99:L164,L99:L164,0))&gt;0,P99:P164))</f>
        <v>2871</v>
      </c>
      <c r="K165" s="161"/>
      <c r="L165" s="33"/>
      <c r="S165" s="652"/>
      <c r="T165" s="652"/>
      <c r="AB165" s="43"/>
    </row>
    <row r="166" spans="1:28" ht="15.75" customHeight="1" x14ac:dyDescent="0.2">
      <c r="A166" s="651"/>
      <c r="B166" s="985" t="s">
        <v>8</v>
      </c>
      <c r="C166" s="985"/>
      <c r="D166" s="985"/>
      <c r="E166" s="985"/>
      <c r="F166" s="985"/>
      <c r="G166" s="985"/>
      <c r="H166" s="985"/>
      <c r="I166" s="985"/>
      <c r="J166" s="985"/>
      <c r="K166" s="985"/>
      <c r="L166" s="985"/>
      <c r="M166" s="985"/>
      <c r="N166" s="985"/>
      <c r="O166" s="985"/>
      <c r="P166" s="985"/>
      <c r="Q166" s="985"/>
      <c r="R166" s="985"/>
      <c r="S166" s="652"/>
      <c r="T166" s="652"/>
    </row>
    <row r="167" spans="1:28" ht="25" thickBot="1" x14ac:dyDescent="0.25">
      <c r="A167" s="651"/>
      <c r="B167" s="740" t="s">
        <v>249</v>
      </c>
      <c r="C167" s="740"/>
      <c r="D167" s="740" t="s">
        <v>250</v>
      </c>
      <c r="E167" s="740"/>
      <c r="F167" s="740"/>
      <c r="G167" s="207" t="s">
        <v>251</v>
      </c>
      <c r="H167" s="740" t="s">
        <v>252</v>
      </c>
      <c r="I167" s="740"/>
      <c r="J167" s="207" t="s">
        <v>253</v>
      </c>
      <c r="K167" s="207" t="s">
        <v>254</v>
      </c>
      <c r="L167" s="740" t="s">
        <v>255</v>
      </c>
      <c r="M167" s="740"/>
      <c r="N167" s="740" t="s">
        <v>225</v>
      </c>
      <c r="O167" s="740"/>
      <c r="P167" s="207" t="s">
        <v>256</v>
      </c>
      <c r="Q167" s="207" t="s">
        <v>257</v>
      </c>
      <c r="R167" s="207" t="s">
        <v>258</v>
      </c>
      <c r="S167" s="655"/>
      <c r="T167" s="655"/>
    </row>
    <row r="168" spans="1:28" ht="21" customHeight="1" x14ac:dyDescent="0.2">
      <c r="A168" s="651"/>
      <c r="B168" s="893">
        <v>37204010</v>
      </c>
      <c r="C168" s="888"/>
      <c r="D168" s="894" t="s">
        <v>341</v>
      </c>
      <c r="E168" s="894"/>
      <c r="F168" s="894"/>
      <c r="G168" s="888" t="s">
        <v>260</v>
      </c>
      <c r="H168" s="843" t="s">
        <v>261</v>
      </c>
      <c r="I168" s="843"/>
      <c r="J168" s="888">
        <v>9</v>
      </c>
      <c r="K168" s="888">
        <v>104</v>
      </c>
      <c r="L168" s="905" t="s">
        <v>342</v>
      </c>
      <c r="M168" s="905"/>
      <c r="N168" s="905" t="s">
        <v>263</v>
      </c>
      <c r="O168" s="905"/>
      <c r="P168" s="452">
        <v>324</v>
      </c>
      <c r="Q168" s="453">
        <v>0.12809999999999999</v>
      </c>
      <c r="R168" s="895">
        <v>1</v>
      </c>
      <c r="S168" s="652"/>
      <c r="T168" s="652"/>
    </row>
    <row r="169" spans="1:28" ht="30" customHeight="1" x14ac:dyDescent="0.2">
      <c r="A169" s="651"/>
      <c r="B169" s="876"/>
      <c r="C169" s="877"/>
      <c r="D169" s="880"/>
      <c r="E169" s="880"/>
      <c r="F169" s="880"/>
      <c r="G169" s="877"/>
      <c r="H169" s="798"/>
      <c r="I169" s="798"/>
      <c r="J169" s="877"/>
      <c r="K169" s="877"/>
      <c r="L169" s="890" t="s">
        <v>343</v>
      </c>
      <c r="M169" s="890"/>
      <c r="N169" s="890" t="s">
        <v>266</v>
      </c>
      <c r="O169" s="890"/>
      <c r="P169" s="457">
        <v>194</v>
      </c>
      <c r="Q169" s="458">
        <v>7.6499999999999999E-2</v>
      </c>
      <c r="R169" s="896"/>
      <c r="S169" s="652"/>
      <c r="T169" s="652"/>
    </row>
    <row r="170" spans="1:28" ht="21" customHeight="1" x14ac:dyDescent="0.2">
      <c r="A170" s="651"/>
      <c r="B170" s="876"/>
      <c r="C170" s="877"/>
      <c r="D170" s="880"/>
      <c r="E170" s="880"/>
      <c r="F170" s="880"/>
      <c r="G170" s="877"/>
      <c r="H170" s="798"/>
      <c r="I170" s="798"/>
      <c r="J170" s="877"/>
      <c r="K170" s="877"/>
      <c r="L170" s="890" t="s">
        <v>344</v>
      </c>
      <c r="M170" s="890"/>
      <c r="N170" s="890" t="s">
        <v>345</v>
      </c>
      <c r="O170" s="890"/>
      <c r="P170" s="457">
        <v>58.5</v>
      </c>
      <c r="Q170" s="458">
        <v>2.3099999999999999E-2</v>
      </c>
      <c r="R170" s="896"/>
      <c r="S170" s="652"/>
      <c r="T170" s="652"/>
    </row>
    <row r="171" spans="1:28" ht="27" customHeight="1" thickBot="1" x14ac:dyDescent="0.25">
      <c r="A171" s="651"/>
      <c r="B171" s="878"/>
      <c r="C171" s="879"/>
      <c r="D171" s="881"/>
      <c r="E171" s="881"/>
      <c r="F171" s="881"/>
      <c r="G171" s="879"/>
      <c r="H171" s="800"/>
      <c r="I171" s="800"/>
      <c r="J171" s="879"/>
      <c r="K171" s="879"/>
      <c r="L171" s="892" t="s">
        <v>346</v>
      </c>
      <c r="M171" s="892"/>
      <c r="N171" s="892" t="s">
        <v>271</v>
      </c>
      <c r="O171" s="892"/>
      <c r="P171" s="454">
        <v>36</v>
      </c>
      <c r="Q171" s="455">
        <v>1.4200000000000001E-2</v>
      </c>
      <c r="R171" s="897"/>
      <c r="S171" s="465"/>
      <c r="T171" s="652"/>
    </row>
    <row r="172" spans="1:28" ht="21" customHeight="1" x14ac:dyDescent="0.2">
      <c r="A172" s="922" t="s">
        <v>976</v>
      </c>
      <c r="B172" s="958">
        <v>37204004</v>
      </c>
      <c r="C172" s="959"/>
      <c r="D172" s="960" t="s">
        <v>341</v>
      </c>
      <c r="E172" s="960"/>
      <c r="F172" s="960"/>
      <c r="G172" s="959" t="s">
        <v>260</v>
      </c>
      <c r="H172" s="972" t="s">
        <v>261</v>
      </c>
      <c r="I172" s="972"/>
      <c r="J172" s="959">
        <v>12</v>
      </c>
      <c r="K172" s="959">
        <v>5</v>
      </c>
      <c r="L172" s="973" t="s">
        <v>342</v>
      </c>
      <c r="M172" s="973"/>
      <c r="N172" s="973" t="s">
        <v>263</v>
      </c>
      <c r="O172" s="973"/>
      <c r="P172" s="452">
        <v>324</v>
      </c>
      <c r="Q172" s="453">
        <v>0.12809999999999999</v>
      </c>
      <c r="R172" s="990">
        <v>1</v>
      </c>
      <c r="S172" s="652"/>
      <c r="T172" s="652"/>
    </row>
    <row r="173" spans="1:28" ht="30" customHeight="1" x14ac:dyDescent="0.2">
      <c r="A173" s="922"/>
      <c r="B173" s="876"/>
      <c r="C173" s="877"/>
      <c r="D173" s="880"/>
      <c r="E173" s="880"/>
      <c r="F173" s="880"/>
      <c r="G173" s="877"/>
      <c r="H173" s="798"/>
      <c r="I173" s="798"/>
      <c r="J173" s="877"/>
      <c r="K173" s="877"/>
      <c r="L173" s="890" t="s">
        <v>343</v>
      </c>
      <c r="M173" s="890"/>
      <c r="N173" s="890" t="s">
        <v>266</v>
      </c>
      <c r="O173" s="890"/>
      <c r="P173" s="457">
        <v>194</v>
      </c>
      <c r="Q173" s="458">
        <v>7.6499999999999999E-2</v>
      </c>
      <c r="R173" s="896"/>
      <c r="S173" s="652"/>
      <c r="T173" s="652"/>
    </row>
    <row r="174" spans="1:28" ht="21" customHeight="1" x14ac:dyDescent="0.2">
      <c r="A174" s="922"/>
      <c r="B174" s="876"/>
      <c r="C174" s="877"/>
      <c r="D174" s="880"/>
      <c r="E174" s="880"/>
      <c r="F174" s="880"/>
      <c r="G174" s="877"/>
      <c r="H174" s="798"/>
      <c r="I174" s="798"/>
      <c r="J174" s="877"/>
      <c r="K174" s="877"/>
      <c r="L174" s="890" t="s">
        <v>344</v>
      </c>
      <c r="M174" s="890"/>
      <c r="N174" s="890" t="s">
        <v>345</v>
      </c>
      <c r="O174" s="890"/>
      <c r="P174" s="457">
        <v>58.5</v>
      </c>
      <c r="Q174" s="458">
        <v>2.3099999999999999E-2</v>
      </c>
      <c r="R174" s="896"/>
      <c r="S174" s="652"/>
      <c r="T174" s="652"/>
    </row>
    <row r="175" spans="1:28" ht="27" customHeight="1" thickBot="1" x14ac:dyDescent="0.25">
      <c r="A175" s="922"/>
      <c r="B175" s="878"/>
      <c r="C175" s="879"/>
      <c r="D175" s="881"/>
      <c r="E175" s="881"/>
      <c r="F175" s="881"/>
      <c r="G175" s="879"/>
      <c r="H175" s="800"/>
      <c r="I175" s="800"/>
      <c r="J175" s="879"/>
      <c r="K175" s="879"/>
      <c r="L175" s="892" t="s">
        <v>346</v>
      </c>
      <c r="M175" s="892"/>
      <c r="N175" s="892" t="s">
        <v>271</v>
      </c>
      <c r="O175" s="892"/>
      <c r="P175" s="454">
        <v>36</v>
      </c>
      <c r="Q175" s="455">
        <v>1.4200000000000001E-2</v>
      </c>
      <c r="R175" s="897"/>
      <c r="S175" s="652"/>
      <c r="T175" s="652"/>
    </row>
    <row r="176" spans="1:28" ht="27" customHeight="1" thickBot="1" x14ac:dyDescent="0.25">
      <c r="A176" s="651"/>
      <c r="B176" s="918">
        <v>37204012</v>
      </c>
      <c r="C176" s="919"/>
      <c r="D176" s="887" t="s">
        <v>918</v>
      </c>
      <c r="E176" s="887"/>
      <c r="F176" s="887"/>
      <c r="G176" s="406" t="s">
        <v>260</v>
      </c>
      <c r="H176" s="850" t="s">
        <v>261</v>
      </c>
      <c r="I176" s="850"/>
      <c r="J176" s="406">
        <v>3</v>
      </c>
      <c r="K176" s="406">
        <v>84</v>
      </c>
      <c r="L176" s="921" t="s">
        <v>342</v>
      </c>
      <c r="M176" s="921"/>
      <c r="N176" s="921" t="s">
        <v>263</v>
      </c>
      <c r="O176" s="921"/>
      <c r="P176" s="452">
        <v>324</v>
      </c>
      <c r="Q176" s="453">
        <v>0.12809999999999999</v>
      </c>
      <c r="R176" s="459">
        <v>1</v>
      </c>
      <c r="S176" s="652"/>
      <c r="T176" s="652"/>
    </row>
    <row r="177" spans="1:20" ht="21" customHeight="1" x14ac:dyDescent="0.2">
      <c r="A177" s="651"/>
      <c r="B177" s="876">
        <v>37204011</v>
      </c>
      <c r="C177" s="877"/>
      <c r="D177" s="880" t="s">
        <v>347</v>
      </c>
      <c r="E177" s="880"/>
      <c r="F177" s="880"/>
      <c r="G177" s="877" t="s">
        <v>260</v>
      </c>
      <c r="H177" s="798" t="s">
        <v>261</v>
      </c>
      <c r="I177" s="798"/>
      <c r="J177" s="877">
        <v>3</v>
      </c>
      <c r="K177" s="877">
        <v>77</v>
      </c>
      <c r="L177" s="890" t="s">
        <v>342</v>
      </c>
      <c r="M177" s="890"/>
      <c r="N177" s="890" t="s">
        <v>263</v>
      </c>
      <c r="O177" s="890"/>
      <c r="P177" s="452">
        <v>324</v>
      </c>
      <c r="Q177" s="453">
        <v>0.12809999999999999</v>
      </c>
      <c r="R177" s="896">
        <v>1</v>
      </c>
      <c r="S177" s="652"/>
      <c r="T177" s="652"/>
    </row>
    <row r="178" spans="1:20" ht="31.5" customHeight="1" thickBot="1" x14ac:dyDescent="0.25">
      <c r="A178" s="651"/>
      <c r="B178" s="878"/>
      <c r="C178" s="879"/>
      <c r="D178" s="881"/>
      <c r="E178" s="881"/>
      <c r="F178" s="881"/>
      <c r="G178" s="879"/>
      <c r="H178" s="800"/>
      <c r="I178" s="800"/>
      <c r="J178" s="879"/>
      <c r="K178" s="879"/>
      <c r="L178" s="892" t="s">
        <v>1242</v>
      </c>
      <c r="M178" s="892"/>
      <c r="N178" s="892" t="s">
        <v>295</v>
      </c>
      <c r="O178" s="892"/>
      <c r="P178" s="454">
        <v>9</v>
      </c>
      <c r="Q178" s="455">
        <v>3.5999999999999999E-3</v>
      </c>
      <c r="R178" s="897"/>
      <c r="S178" s="652"/>
      <c r="T178" s="652"/>
    </row>
    <row r="179" spans="1:20" ht="21" customHeight="1" x14ac:dyDescent="0.2">
      <c r="A179" s="923" t="s">
        <v>976</v>
      </c>
      <c r="B179" s="876">
        <v>37204005</v>
      </c>
      <c r="C179" s="877"/>
      <c r="D179" s="880" t="s">
        <v>347</v>
      </c>
      <c r="E179" s="880"/>
      <c r="F179" s="880"/>
      <c r="G179" s="877" t="s">
        <v>260</v>
      </c>
      <c r="H179" s="798" t="s">
        <v>261</v>
      </c>
      <c r="I179" s="798"/>
      <c r="J179" s="877">
        <v>6</v>
      </c>
      <c r="K179" s="877">
        <v>3</v>
      </c>
      <c r="L179" s="890" t="s">
        <v>342</v>
      </c>
      <c r="M179" s="890"/>
      <c r="N179" s="890" t="s">
        <v>263</v>
      </c>
      <c r="O179" s="890"/>
      <c r="P179" s="452">
        <v>324</v>
      </c>
      <c r="Q179" s="453">
        <v>0.129</v>
      </c>
      <c r="R179" s="896">
        <v>1</v>
      </c>
      <c r="S179" s="652"/>
      <c r="T179" s="652"/>
    </row>
    <row r="180" spans="1:20" ht="31.5" customHeight="1" thickBot="1" x14ac:dyDescent="0.25">
      <c r="A180" s="923"/>
      <c r="B180" s="878"/>
      <c r="C180" s="879"/>
      <c r="D180" s="881"/>
      <c r="E180" s="881"/>
      <c r="F180" s="881"/>
      <c r="G180" s="879"/>
      <c r="H180" s="800"/>
      <c r="I180" s="800"/>
      <c r="J180" s="879"/>
      <c r="K180" s="879"/>
      <c r="L180" s="892" t="s">
        <v>1242</v>
      </c>
      <c r="M180" s="892"/>
      <c r="N180" s="892" t="s">
        <v>295</v>
      </c>
      <c r="O180" s="892"/>
      <c r="P180" s="454">
        <v>9</v>
      </c>
      <c r="Q180" s="455">
        <v>3.5999999999999999E-3</v>
      </c>
      <c r="R180" s="897"/>
      <c r="S180" s="652"/>
      <c r="T180" s="652"/>
    </row>
    <row r="181" spans="1:20" ht="31.5" customHeight="1" thickBot="1" x14ac:dyDescent="0.25">
      <c r="A181" s="651"/>
      <c r="B181" s="893">
        <v>37204013</v>
      </c>
      <c r="C181" s="888"/>
      <c r="D181" s="894" t="s">
        <v>919</v>
      </c>
      <c r="E181" s="894"/>
      <c r="F181" s="894"/>
      <c r="G181" s="419" t="s">
        <v>260</v>
      </c>
      <c r="H181" s="843" t="s">
        <v>261</v>
      </c>
      <c r="I181" s="843"/>
      <c r="J181" s="419">
        <v>3</v>
      </c>
      <c r="K181" s="419">
        <v>76</v>
      </c>
      <c r="L181" s="905" t="s">
        <v>342</v>
      </c>
      <c r="M181" s="905"/>
      <c r="N181" s="905" t="s">
        <v>263</v>
      </c>
      <c r="O181" s="905"/>
      <c r="P181" s="452">
        <v>324</v>
      </c>
      <c r="Q181" s="453">
        <v>0.12809999999999999</v>
      </c>
      <c r="R181" s="460">
        <v>1</v>
      </c>
      <c r="S181" s="652"/>
      <c r="T181" s="652"/>
    </row>
    <row r="182" spans="1:20" ht="24" customHeight="1" x14ac:dyDescent="0.2">
      <c r="A182" s="651"/>
      <c r="B182" s="893">
        <v>37204001</v>
      </c>
      <c r="C182" s="888"/>
      <c r="D182" s="894" t="s">
        <v>348</v>
      </c>
      <c r="E182" s="894"/>
      <c r="F182" s="894"/>
      <c r="G182" s="888" t="s">
        <v>260</v>
      </c>
      <c r="H182" s="843" t="s">
        <v>261</v>
      </c>
      <c r="I182" s="843"/>
      <c r="J182" s="888">
        <v>6</v>
      </c>
      <c r="K182" s="888">
        <v>109</v>
      </c>
      <c r="L182" s="905" t="s">
        <v>265</v>
      </c>
      <c r="M182" s="905"/>
      <c r="N182" s="905" t="s">
        <v>266</v>
      </c>
      <c r="O182" s="905"/>
      <c r="P182" s="448">
        <v>63</v>
      </c>
      <c r="Q182" s="449">
        <v>2.4899999999999999E-2</v>
      </c>
      <c r="R182" s="895">
        <v>1</v>
      </c>
      <c r="S182" s="652"/>
      <c r="T182" s="652"/>
    </row>
    <row r="183" spans="1:20" ht="27.75" customHeight="1" thickBot="1" x14ac:dyDescent="0.25">
      <c r="A183" s="651"/>
      <c r="B183" s="878"/>
      <c r="C183" s="879"/>
      <c r="D183" s="881"/>
      <c r="E183" s="881"/>
      <c r="F183" s="881"/>
      <c r="G183" s="879"/>
      <c r="H183" s="800"/>
      <c r="I183" s="800"/>
      <c r="J183" s="879"/>
      <c r="K183" s="879"/>
      <c r="L183" s="892" t="s">
        <v>343</v>
      </c>
      <c r="M183" s="892"/>
      <c r="N183" s="892" t="s">
        <v>266</v>
      </c>
      <c r="O183" s="892"/>
      <c r="P183" s="454">
        <v>194</v>
      </c>
      <c r="Q183" s="455">
        <v>7.6499999999999999E-2</v>
      </c>
      <c r="R183" s="897"/>
      <c r="S183" s="652"/>
      <c r="T183" s="652"/>
    </row>
    <row r="184" spans="1:20" ht="28.5" customHeight="1" thickBot="1" x14ac:dyDescent="0.25">
      <c r="A184" s="651"/>
      <c r="B184" s="917">
        <v>37204003</v>
      </c>
      <c r="C184" s="800"/>
      <c r="D184" s="881" t="s">
        <v>349</v>
      </c>
      <c r="E184" s="881"/>
      <c r="F184" s="881"/>
      <c r="G184" s="405" t="s">
        <v>260</v>
      </c>
      <c r="H184" s="800" t="s">
        <v>261</v>
      </c>
      <c r="I184" s="800"/>
      <c r="J184" s="405">
        <v>6</v>
      </c>
      <c r="K184" s="405">
        <v>110</v>
      </c>
      <c r="L184" s="892" t="s">
        <v>350</v>
      </c>
      <c r="M184" s="892"/>
      <c r="N184" s="892" t="s">
        <v>266</v>
      </c>
      <c r="O184" s="892"/>
      <c r="P184" s="454">
        <v>54</v>
      </c>
      <c r="Q184" s="455">
        <v>2.1399999999999999E-2</v>
      </c>
      <c r="R184" s="461">
        <v>1</v>
      </c>
      <c r="S184" s="652"/>
      <c r="T184" s="652"/>
    </row>
    <row r="185" spans="1:20" ht="25.5" customHeight="1" thickBot="1" x14ac:dyDescent="0.25">
      <c r="A185" s="651"/>
      <c r="B185" s="918">
        <v>37204002</v>
      </c>
      <c r="C185" s="919"/>
      <c r="D185" s="887" t="s">
        <v>351</v>
      </c>
      <c r="E185" s="887"/>
      <c r="F185" s="887"/>
      <c r="G185" s="406" t="s">
        <v>260</v>
      </c>
      <c r="H185" s="850" t="s">
        <v>261</v>
      </c>
      <c r="I185" s="850"/>
      <c r="J185" s="406">
        <v>6</v>
      </c>
      <c r="K185" s="406">
        <v>62</v>
      </c>
      <c r="L185" s="921" t="s">
        <v>352</v>
      </c>
      <c r="M185" s="921"/>
      <c r="N185" s="921" t="s">
        <v>266</v>
      </c>
      <c r="O185" s="921"/>
      <c r="P185" s="446">
        <v>180</v>
      </c>
      <c r="Q185" s="447">
        <v>7.1199999999999999E-2</v>
      </c>
      <c r="R185" s="459">
        <v>1</v>
      </c>
      <c r="S185" s="652"/>
      <c r="T185" s="652"/>
    </row>
    <row r="186" spans="1:20" ht="18.75" customHeight="1" x14ac:dyDescent="0.2">
      <c r="A186" s="651"/>
      <c r="B186" s="876">
        <v>37204006</v>
      </c>
      <c r="C186" s="877"/>
      <c r="D186" s="880" t="s">
        <v>353</v>
      </c>
      <c r="E186" s="880"/>
      <c r="F186" s="880"/>
      <c r="G186" s="877" t="s">
        <v>260</v>
      </c>
      <c r="H186" s="798" t="s">
        <v>261</v>
      </c>
      <c r="I186" s="798"/>
      <c r="J186" s="877">
        <v>6</v>
      </c>
      <c r="K186" s="877">
        <v>70</v>
      </c>
      <c r="L186" s="890" t="s">
        <v>342</v>
      </c>
      <c r="M186" s="890"/>
      <c r="N186" s="890" t="s">
        <v>263</v>
      </c>
      <c r="O186" s="890"/>
      <c r="P186" s="452">
        <v>324</v>
      </c>
      <c r="Q186" s="453">
        <v>0.12809999999999999</v>
      </c>
      <c r="R186" s="896">
        <v>1</v>
      </c>
      <c r="S186" s="652"/>
      <c r="T186" s="652"/>
    </row>
    <row r="187" spans="1:20" ht="24" customHeight="1" thickBot="1" x14ac:dyDescent="0.25">
      <c r="A187" s="651"/>
      <c r="B187" s="878"/>
      <c r="C187" s="879"/>
      <c r="D187" s="881"/>
      <c r="E187" s="881"/>
      <c r="F187" s="881"/>
      <c r="G187" s="879"/>
      <c r="H187" s="800"/>
      <c r="I187" s="800"/>
      <c r="J187" s="879"/>
      <c r="K187" s="879"/>
      <c r="L187" s="892" t="s">
        <v>354</v>
      </c>
      <c r="M187" s="892"/>
      <c r="N187" s="892" t="s">
        <v>271</v>
      </c>
      <c r="O187" s="892"/>
      <c r="P187" s="454">
        <v>9</v>
      </c>
      <c r="Q187" s="455">
        <v>3.5999999999999999E-3</v>
      </c>
      <c r="R187" s="897"/>
      <c r="S187" s="652"/>
      <c r="T187" s="652"/>
    </row>
    <row r="188" spans="1:20" ht="21" customHeight="1" x14ac:dyDescent="0.2">
      <c r="A188" s="651"/>
      <c r="B188" s="876">
        <v>37204112</v>
      </c>
      <c r="C188" s="877"/>
      <c r="D188" s="880" t="s">
        <v>355</v>
      </c>
      <c r="E188" s="880"/>
      <c r="F188" s="880"/>
      <c r="G188" s="877" t="s">
        <v>260</v>
      </c>
      <c r="H188" s="798" t="s">
        <v>284</v>
      </c>
      <c r="I188" s="798"/>
      <c r="J188" s="877">
        <v>3</v>
      </c>
      <c r="K188" s="877">
        <v>62</v>
      </c>
      <c r="L188" s="890" t="s">
        <v>356</v>
      </c>
      <c r="M188" s="890"/>
      <c r="N188" s="890" t="s">
        <v>345</v>
      </c>
      <c r="O188" s="890"/>
      <c r="P188" s="452">
        <v>117</v>
      </c>
      <c r="Q188" s="453">
        <v>4.6300000000000001E-2</v>
      </c>
      <c r="R188" s="896">
        <v>1</v>
      </c>
      <c r="S188" s="652"/>
      <c r="T188" s="652"/>
    </row>
    <row r="189" spans="1:20" ht="22.5" customHeight="1" thickBot="1" x14ac:dyDescent="0.25">
      <c r="A189" s="651"/>
      <c r="B189" s="878"/>
      <c r="C189" s="879"/>
      <c r="D189" s="881"/>
      <c r="E189" s="881"/>
      <c r="F189" s="881"/>
      <c r="G189" s="879"/>
      <c r="H189" s="800"/>
      <c r="I189" s="800"/>
      <c r="J189" s="879"/>
      <c r="K189" s="879"/>
      <c r="L189" s="892" t="s">
        <v>344</v>
      </c>
      <c r="M189" s="892"/>
      <c r="N189" s="892" t="s">
        <v>345</v>
      </c>
      <c r="O189" s="892"/>
      <c r="P189" s="454">
        <v>58.5</v>
      </c>
      <c r="Q189" s="455">
        <v>2.3099999999999999E-2</v>
      </c>
      <c r="R189" s="897"/>
      <c r="S189" s="652"/>
      <c r="T189" s="652"/>
    </row>
    <row r="190" spans="1:20" ht="28.5" customHeight="1" thickBot="1" x14ac:dyDescent="0.25">
      <c r="A190" s="651"/>
      <c r="B190" s="917">
        <v>37204122</v>
      </c>
      <c r="C190" s="800"/>
      <c r="D190" s="881" t="s">
        <v>357</v>
      </c>
      <c r="E190" s="881"/>
      <c r="F190" s="881"/>
      <c r="G190" s="405" t="s">
        <v>260</v>
      </c>
      <c r="H190" s="800" t="s">
        <v>284</v>
      </c>
      <c r="I190" s="800"/>
      <c r="J190" s="405">
        <v>6</v>
      </c>
      <c r="K190" s="405">
        <v>73</v>
      </c>
      <c r="L190" s="892" t="s">
        <v>997</v>
      </c>
      <c r="M190" s="892"/>
      <c r="N190" s="892" t="s">
        <v>280</v>
      </c>
      <c r="O190" s="892"/>
      <c r="P190" s="454">
        <v>180</v>
      </c>
      <c r="Q190" s="455">
        <v>7.1199999999999999E-2</v>
      </c>
      <c r="R190" s="461">
        <v>2</v>
      </c>
      <c r="S190" s="652"/>
      <c r="T190" s="652"/>
    </row>
    <row r="191" spans="1:20" ht="28.5" customHeight="1" thickBot="1" x14ac:dyDescent="0.25">
      <c r="A191" s="651"/>
      <c r="B191" s="917">
        <v>37204123</v>
      </c>
      <c r="C191" s="800"/>
      <c r="D191" s="881" t="s">
        <v>358</v>
      </c>
      <c r="E191" s="881"/>
      <c r="F191" s="881"/>
      <c r="G191" s="405" t="s">
        <v>260</v>
      </c>
      <c r="H191" s="800" t="s">
        <v>284</v>
      </c>
      <c r="I191" s="800"/>
      <c r="J191" s="405">
        <v>6</v>
      </c>
      <c r="K191" s="405">
        <v>75</v>
      </c>
      <c r="L191" s="892" t="s">
        <v>997</v>
      </c>
      <c r="M191" s="892"/>
      <c r="N191" s="892" t="s">
        <v>280</v>
      </c>
      <c r="O191" s="892"/>
      <c r="P191" s="454">
        <v>180</v>
      </c>
      <c r="Q191" s="455">
        <v>7.1199999999999999E-2</v>
      </c>
      <c r="R191" s="461">
        <v>2</v>
      </c>
      <c r="S191" s="652"/>
      <c r="T191" s="652"/>
    </row>
    <row r="192" spans="1:20" ht="28.5" customHeight="1" thickBot="1" x14ac:dyDescent="0.25">
      <c r="A192" s="651"/>
      <c r="B192" s="917">
        <v>37204132</v>
      </c>
      <c r="C192" s="800"/>
      <c r="D192" s="881" t="s">
        <v>359</v>
      </c>
      <c r="E192" s="881"/>
      <c r="F192" s="881"/>
      <c r="G192" s="405" t="s">
        <v>260</v>
      </c>
      <c r="H192" s="800" t="s">
        <v>284</v>
      </c>
      <c r="I192" s="800"/>
      <c r="J192" s="405">
        <v>3</v>
      </c>
      <c r="K192" s="405">
        <v>75</v>
      </c>
      <c r="L192" s="892" t="s">
        <v>360</v>
      </c>
      <c r="M192" s="892"/>
      <c r="N192" s="892" t="s">
        <v>271</v>
      </c>
      <c r="O192" s="892"/>
      <c r="P192" s="454">
        <v>117</v>
      </c>
      <c r="Q192" s="455">
        <v>4.6300000000000001E-2</v>
      </c>
      <c r="R192" s="461">
        <v>2</v>
      </c>
      <c r="S192" s="652"/>
      <c r="T192" s="652"/>
    </row>
    <row r="193" spans="1:20" ht="30" customHeight="1" thickBot="1" x14ac:dyDescent="0.25">
      <c r="A193" s="651"/>
      <c r="B193" s="917">
        <v>37204008</v>
      </c>
      <c r="C193" s="800"/>
      <c r="D193" s="881" t="s">
        <v>361</v>
      </c>
      <c r="E193" s="881"/>
      <c r="F193" s="881"/>
      <c r="G193" s="405" t="s">
        <v>268</v>
      </c>
      <c r="H193" s="800" t="s">
        <v>261</v>
      </c>
      <c r="I193" s="800"/>
      <c r="J193" s="405">
        <v>6</v>
      </c>
      <c r="K193" s="405">
        <v>77</v>
      </c>
      <c r="L193" s="892" t="s">
        <v>362</v>
      </c>
      <c r="M193" s="892"/>
      <c r="N193" s="892" t="s">
        <v>266</v>
      </c>
      <c r="O193" s="892"/>
      <c r="P193" s="454">
        <v>90</v>
      </c>
      <c r="Q193" s="455">
        <v>3.56E-2</v>
      </c>
      <c r="R193" s="461">
        <v>1</v>
      </c>
      <c r="S193" s="652"/>
      <c r="T193" s="652"/>
    </row>
    <row r="194" spans="1:20" ht="24.75" customHeight="1" thickBot="1" x14ac:dyDescent="0.25">
      <c r="A194" s="651"/>
      <c r="B194" s="924">
        <v>37204102</v>
      </c>
      <c r="C194" s="850"/>
      <c r="D194" s="887" t="s">
        <v>363</v>
      </c>
      <c r="E194" s="887"/>
      <c r="F194" s="887"/>
      <c r="G194" s="406" t="s">
        <v>268</v>
      </c>
      <c r="H194" s="850" t="s">
        <v>284</v>
      </c>
      <c r="I194" s="850"/>
      <c r="J194" s="406">
        <v>6</v>
      </c>
      <c r="K194" s="406">
        <v>92</v>
      </c>
      <c r="L194" s="921" t="s">
        <v>352</v>
      </c>
      <c r="M194" s="921"/>
      <c r="N194" s="921" t="s">
        <v>266</v>
      </c>
      <c r="O194" s="921"/>
      <c r="P194" s="446">
        <v>180</v>
      </c>
      <c r="Q194" s="447">
        <v>7.1199999999999999E-2</v>
      </c>
      <c r="R194" s="459">
        <v>1</v>
      </c>
      <c r="S194" s="652"/>
      <c r="T194" s="652"/>
    </row>
    <row r="195" spans="1:20" ht="27.75" customHeight="1" thickBot="1" x14ac:dyDescent="0.25">
      <c r="A195" s="651"/>
      <c r="B195" s="916">
        <v>37204103</v>
      </c>
      <c r="C195" s="798"/>
      <c r="D195" s="880" t="s">
        <v>364</v>
      </c>
      <c r="E195" s="880"/>
      <c r="F195" s="880"/>
      <c r="G195" s="418" t="s">
        <v>268</v>
      </c>
      <c r="H195" s="798" t="s">
        <v>284</v>
      </c>
      <c r="I195" s="798"/>
      <c r="J195" s="418">
        <v>3</v>
      </c>
      <c r="K195" s="418">
        <v>75</v>
      </c>
      <c r="L195" s="890" t="s">
        <v>270</v>
      </c>
      <c r="M195" s="890"/>
      <c r="N195" s="890" t="s">
        <v>271</v>
      </c>
      <c r="O195" s="890"/>
      <c r="P195" s="457">
        <v>54</v>
      </c>
      <c r="Q195" s="458">
        <v>2.1399999999999999E-2</v>
      </c>
      <c r="R195" s="462">
        <v>1</v>
      </c>
      <c r="S195" s="652"/>
      <c r="T195" s="652"/>
    </row>
    <row r="196" spans="1:20" ht="26.25" customHeight="1" thickBot="1" x14ac:dyDescent="0.25">
      <c r="A196" s="657"/>
      <c r="B196" s="924">
        <v>37204009</v>
      </c>
      <c r="C196" s="850"/>
      <c r="D196" s="887" t="s">
        <v>365</v>
      </c>
      <c r="E196" s="887"/>
      <c r="F196" s="887"/>
      <c r="G196" s="406" t="s">
        <v>268</v>
      </c>
      <c r="H196" s="850" t="s">
        <v>261</v>
      </c>
      <c r="I196" s="850"/>
      <c r="J196" s="406">
        <v>6</v>
      </c>
      <c r="K196" s="406">
        <v>59</v>
      </c>
      <c r="L196" s="921" t="s">
        <v>1243</v>
      </c>
      <c r="M196" s="921"/>
      <c r="N196" s="921" t="s">
        <v>304</v>
      </c>
      <c r="O196" s="921"/>
      <c r="P196" s="446">
        <v>108</v>
      </c>
      <c r="Q196" s="447">
        <v>4.2700000000000002E-2</v>
      </c>
      <c r="R196" s="459">
        <v>1</v>
      </c>
      <c r="S196" s="652"/>
      <c r="T196" s="652"/>
    </row>
    <row r="197" spans="1:20" ht="21" customHeight="1" x14ac:dyDescent="0.2">
      <c r="A197" s="651"/>
      <c r="B197" s="915">
        <v>37204115</v>
      </c>
      <c r="C197" s="843"/>
      <c r="D197" s="894" t="s">
        <v>366</v>
      </c>
      <c r="E197" s="894"/>
      <c r="F197" s="894"/>
      <c r="G197" s="888" t="s">
        <v>268</v>
      </c>
      <c r="H197" s="843" t="s">
        <v>284</v>
      </c>
      <c r="I197" s="843"/>
      <c r="J197" s="888">
        <v>3</v>
      </c>
      <c r="K197" s="888">
        <v>58</v>
      </c>
      <c r="L197" s="905" t="s">
        <v>342</v>
      </c>
      <c r="M197" s="905"/>
      <c r="N197" s="905" t="s">
        <v>263</v>
      </c>
      <c r="O197" s="905"/>
      <c r="P197" s="452">
        <v>324</v>
      </c>
      <c r="Q197" s="453">
        <v>0.129</v>
      </c>
      <c r="R197" s="895">
        <v>1</v>
      </c>
      <c r="S197" s="652"/>
      <c r="T197" s="652"/>
    </row>
    <row r="198" spans="1:20" ht="18" customHeight="1" thickBot="1" x14ac:dyDescent="0.25">
      <c r="A198" s="651"/>
      <c r="B198" s="917"/>
      <c r="C198" s="800"/>
      <c r="D198" s="881"/>
      <c r="E198" s="881"/>
      <c r="F198" s="881"/>
      <c r="G198" s="879"/>
      <c r="H198" s="800"/>
      <c r="I198" s="800"/>
      <c r="J198" s="879"/>
      <c r="K198" s="879"/>
      <c r="L198" s="892" t="s">
        <v>903</v>
      </c>
      <c r="M198" s="892"/>
      <c r="N198" s="892" t="s">
        <v>345</v>
      </c>
      <c r="O198" s="892"/>
      <c r="P198" s="454">
        <v>90</v>
      </c>
      <c r="Q198" s="455">
        <v>3.56E-2</v>
      </c>
      <c r="R198" s="897"/>
      <c r="S198" s="652"/>
      <c r="T198" s="652"/>
    </row>
    <row r="199" spans="1:20" ht="27.75" customHeight="1" thickBot="1" x14ac:dyDescent="0.25">
      <c r="A199" s="651"/>
      <c r="B199" s="917">
        <v>37204007</v>
      </c>
      <c r="C199" s="800"/>
      <c r="D199" s="881" t="s">
        <v>367</v>
      </c>
      <c r="E199" s="881"/>
      <c r="F199" s="881"/>
      <c r="G199" s="405" t="s">
        <v>268</v>
      </c>
      <c r="H199" s="800" t="s">
        <v>261</v>
      </c>
      <c r="I199" s="800"/>
      <c r="J199" s="405">
        <v>6</v>
      </c>
      <c r="K199" s="405">
        <v>79</v>
      </c>
      <c r="L199" s="892" t="s">
        <v>262</v>
      </c>
      <c r="M199" s="892"/>
      <c r="N199" s="892" t="s">
        <v>263</v>
      </c>
      <c r="O199" s="892"/>
      <c r="P199" s="454">
        <v>63</v>
      </c>
      <c r="Q199" s="455">
        <v>2.4899999999999999E-2</v>
      </c>
      <c r="R199" s="461">
        <v>1</v>
      </c>
      <c r="S199" s="652"/>
      <c r="T199" s="652"/>
    </row>
    <row r="200" spans="1:20" ht="26.25" customHeight="1" thickBot="1" x14ac:dyDescent="0.25">
      <c r="A200" s="657"/>
      <c r="B200" s="917">
        <v>37204124</v>
      </c>
      <c r="C200" s="800"/>
      <c r="D200" s="881" t="s">
        <v>368</v>
      </c>
      <c r="E200" s="881"/>
      <c r="F200" s="881"/>
      <c r="G200" s="405" t="s">
        <v>268</v>
      </c>
      <c r="H200" s="800" t="s">
        <v>284</v>
      </c>
      <c r="I200" s="800"/>
      <c r="J200" s="405">
        <v>6</v>
      </c>
      <c r="K200" s="405">
        <v>61</v>
      </c>
      <c r="L200" s="892" t="s">
        <v>369</v>
      </c>
      <c r="M200" s="892"/>
      <c r="N200" s="892" t="s">
        <v>271</v>
      </c>
      <c r="O200" s="892"/>
      <c r="P200" s="454">
        <v>54</v>
      </c>
      <c r="Q200" s="455">
        <v>2.1399999999999999E-2</v>
      </c>
      <c r="R200" s="461">
        <v>1</v>
      </c>
      <c r="S200" s="652"/>
      <c r="T200" s="652"/>
    </row>
    <row r="201" spans="1:20" ht="25.5" customHeight="1" thickBot="1" x14ac:dyDescent="0.25">
      <c r="A201" s="651"/>
      <c r="B201" s="917">
        <v>37204101</v>
      </c>
      <c r="C201" s="800"/>
      <c r="D201" s="881" t="s">
        <v>370</v>
      </c>
      <c r="E201" s="881"/>
      <c r="F201" s="881"/>
      <c r="G201" s="405" t="s">
        <v>268</v>
      </c>
      <c r="H201" s="800" t="s">
        <v>284</v>
      </c>
      <c r="I201" s="800"/>
      <c r="J201" s="405">
        <v>6</v>
      </c>
      <c r="K201" s="405">
        <v>68</v>
      </c>
      <c r="L201" s="892" t="s">
        <v>360</v>
      </c>
      <c r="M201" s="892"/>
      <c r="N201" s="892" t="s">
        <v>271</v>
      </c>
      <c r="O201" s="892"/>
      <c r="P201" s="454">
        <v>117</v>
      </c>
      <c r="Q201" s="455">
        <v>4.6300000000000001E-2</v>
      </c>
      <c r="R201" s="461">
        <v>1</v>
      </c>
      <c r="S201" s="652"/>
      <c r="T201" s="652"/>
    </row>
    <row r="202" spans="1:20" ht="21" customHeight="1" x14ac:dyDescent="0.2">
      <c r="A202" s="651"/>
      <c r="B202" s="916">
        <v>37204119</v>
      </c>
      <c r="C202" s="798"/>
      <c r="D202" s="880" t="s">
        <v>371</v>
      </c>
      <c r="E202" s="880"/>
      <c r="F202" s="880"/>
      <c r="G202" s="877" t="s">
        <v>268</v>
      </c>
      <c r="H202" s="798" t="s">
        <v>284</v>
      </c>
      <c r="I202" s="798"/>
      <c r="J202" s="877">
        <v>5</v>
      </c>
      <c r="K202" s="877">
        <v>64</v>
      </c>
      <c r="L202" s="890" t="s">
        <v>373</v>
      </c>
      <c r="M202" s="890"/>
      <c r="N202" s="890" t="s">
        <v>280</v>
      </c>
      <c r="O202" s="890"/>
      <c r="P202" s="457">
        <v>216</v>
      </c>
      <c r="Q202" s="458">
        <v>8.5400000000000004E-2</v>
      </c>
      <c r="R202" s="896">
        <v>2</v>
      </c>
      <c r="S202" s="652"/>
      <c r="T202" s="652"/>
    </row>
    <row r="203" spans="1:20" ht="24" customHeight="1" x14ac:dyDescent="0.2">
      <c r="A203" s="651"/>
      <c r="B203" s="916"/>
      <c r="C203" s="798"/>
      <c r="D203" s="880"/>
      <c r="E203" s="880"/>
      <c r="F203" s="880"/>
      <c r="G203" s="877"/>
      <c r="H203" s="798"/>
      <c r="I203" s="798"/>
      <c r="J203" s="877"/>
      <c r="K203" s="877"/>
      <c r="L203" s="890" t="s">
        <v>356</v>
      </c>
      <c r="M203" s="890"/>
      <c r="N203" s="890" t="s">
        <v>345</v>
      </c>
      <c r="O203" s="890"/>
      <c r="P203" s="457">
        <v>117</v>
      </c>
      <c r="Q203" s="458">
        <v>4.6300000000000001E-2</v>
      </c>
      <c r="R203" s="896"/>
      <c r="S203" s="652"/>
      <c r="T203" s="652"/>
    </row>
    <row r="204" spans="1:20" ht="24" customHeight="1" thickBot="1" x14ac:dyDescent="0.25">
      <c r="A204" s="651"/>
      <c r="B204" s="916"/>
      <c r="C204" s="798"/>
      <c r="D204" s="880"/>
      <c r="E204" s="880"/>
      <c r="F204" s="880"/>
      <c r="G204" s="877"/>
      <c r="H204" s="798"/>
      <c r="I204" s="798"/>
      <c r="J204" s="877"/>
      <c r="K204" s="877"/>
      <c r="L204" s="890" t="s">
        <v>344</v>
      </c>
      <c r="M204" s="890"/>
      <c r="N204" s="890" t="s">
        <v>345</v>
      </c>
      <c r="O204" s="890"/>
      <c r="P204" s="457">
        <v>58.5</v>
      </c>
      <c r="Q204" s="458">
        <v>2.3099999999999999E-2</v>
      </c>
      <c r="R204" s="896">
        <v>1</v>
      </c>
      <c r="S204" s="652"/>
      <c r="T204" s="652"/>
    </row>
    <row r="205" spans="1:20" ht="22.5" customHeight="1" thickBot="1" x14ac:dyDescent="0.25">
      <c r="A205" s="651"/>
      <c r="B205" s="924">
        <v>37204133</v>
      </c>
      <c r="C205" s="850"/>
      <c r="D205" s="887" t="s">
        <v>372</v>
      </c>
      <c r="E205" s="887"/>
      <c r="F205" s="887"/>
      <c r="G205" s="406" t="s">
        <v>268</v>
      </c>
      <c r="H205" s="850" t="s">
        <v>284</v>
      </c>
      <c r="I205" s="850"/>
      <c r="J205" s="406">
        <v>4</v>
      </c>
      <c r="K205" s="406">
        <v>63</v>
      </c>
      <c r="L205" s="921" t="s">
        <v>373</v>
      </c>
      <c r="M205" s="921"/>
      <c r="N205" s="921" t="s">
        <v>280</v>
      </c>
      <c r="O205" s="921"/>
      <c r="P205" s="446">
        <v>216</v>
      </c>
      <c r="Q205" s="447">
        <v>8.5400000000000004E-2</v>
      </c>
      <c r="R205" s="459">
        <v>2</v>
      </c>
      <c r="S205" s="652"/>
      <c r="T205" s="652"/>
    </row>
    <row r="206" spans="1:20" ht="28.5" customHeight="1" thickBot="1" x14ac:dyDescent="0.25">
      <c r="A206" s="651"/>
      <c r="B206" s="924">
        <v>37204108</v>
      </c>
      <c r="C206" s="850"/>
      <c r="D206" s="887" t="s">
        <v>374</v>
      </c>
      <c r="E206" s="887"/>
      <c r="F206" s="887"/>
      <c r="G206" s="406" t="s">
        <v>268</v>
      </c>
      <c r="H206" s="850" t="s">
        <v>284</v>
      </c>
      <c r="I206" s="850"/>
      <c r="J206" s="406">
        <v>3</v>
      </c>
      <c r="K206" s="406">
        <v>65</v>
      </c>
      <c r="L206" s="921" t="s">
        <v>375</v>
      </c>
      <c r="M206" s="921"/>
      <c r="N206" s="921" t="s">
        <v>271</v>
      </c>
      <c r="O206" s="921"/>
      <c r="P206" s="446">
        <v>63</v>
      </c>
      <c r="Q206" s="447">
        <v>2.4899999999999999E-2</v>
      </c>
      <c r="R206" s="459">
        <v>1</v>
      </c>
      <c r="S206" s="652"/>
      <c r="T206" s="652"/>
    </row>
    <row r="207" spans="1:20" ht="21" customHeight="1" thickBot="1" x14ac:dyDescent="0.25">
      <c r="A207" s="651"/>
      <c r="B207" s="916">
        <v>37204125</v>
      </c>
      <c r="C207" s="798"/>
      <c r="D207" s="880" t="s">
        <v>376</v>
      </c>
      <c r="E207" s="880"/>
      <c r="F207" s="880"/>
      <c r="G207" s="418" t="s">
        <v>268</v>
      </c>
      <c r="H207" s="798" t="s">
        <v>284</v>
      </c>
      <c r="I207" s="798"/>
      <c r="J207" s="418">
        <v>6</v>
      </c>
      <c r="K207" s="418">
        <v>68</v>
      </c>
      <c r="L207" s="890" t="s">
        <v>342</v>
      </c>
      <c r="M207" s="890"/>
      <c r="N207" s="890" t="s">
        <v>263</v>
      </c>
      <c r="O207" s="890"/>
      <c r="P207" s="452">
        <v>324</v>
      </c>
      <c r="Q207" s="453">
        <v>0.129</v>
      </c>
      <c r="R207" s="462">
        <v>1</v>
      </c>
      <c r="S207" s="652"/>
      <c r="T207" s="652"/>
    </row>
    <row r="208" spans="1:20" ht="33.75" customHeight="1" thickBot="1" x14ac:dyDescent="0.25">
      <c r="A208" s="651"/>
      <c r="B208" s="924">
        <v>37204111</v>
      </c>
      <c r="C208" s="850"/>
      <c r="D208" s="887" t="s">
        <v>377</v>
      </c>
      <c r="E208" s="887"/>
      <c r="F208" s="887"/>
      <c r="G208" s="406" t="s">
        <v>287</v>
      </c>
      <c r="H208" s="850" t="s">
        <v>284</v>
      </c>
      <c r="I208" s="850"/>
      <c r="J208" s="406">
        <v>3</v>
      </c>
      <c r="K208" s="406">
        <v>53</v>
      </c>
      <c r="L208" s="921" t="s">
        <v>378</v>
      </c>
      <c r="M208" s="921"/>
      <c r="N208" s="921" t="s">
        <v>271</v>
      </c>
      <c r="O208" s="921"/>
      <c r="P208" s="446">
        <v>27</v>
      </c>
      <c r="Q208" s="447">
        <v>1.0699999999999999E-2</v>
      </c>
      <c r="R208" s="459">
        <v>1</v>
      </c>
      <c r="S208" s="652"/>
      <c r="T208" s="652"/>
    </row>
    <row r="209" spans="1:21" ht="30.75" customHeight="1" thickBot="1" x14ac:dyDescent="0.25">
      <c r="A209" s="651"/>
      <c r="B209" s="916">
        <v>37204105</v>
      </c>
      <c r="C209" s="798"/>
      <c r="D209" s="880" t="s">
        <v>991</v>
      </c>
      <c r="E209" s="880"/>
      <c r="F209" s="880"/>
      <c r="G209" s="418" t="s">
        <v>287</v>
      </c>
      <c r="H209" s="798" t="s">
        <v>284</v>
      </c>
      <c r="I209" s="798"/>
      <c r="J209" s="418">
        <v>3</v>
      </c>
      <c r="K209" s="418">
        <v>49</v>
      </c>
      <c r="L209" s="890" t="s">
        <v>356</v>
      </c>
      <c r="M209" s="890"/>
      <c r="N209" s="890" t="s">
        <v>345</v>
      </c>
      <c r="O209" s="890"/>
      <c r="P209" s="457">
        <v>117</v>
      </c>
      <c r="Q209" s="458">
        <v>4.6300000000000001E-2</v>
      </c>
      <c r="R209" s="462">
        <v>1</v>
      </c>
      <c r="S209" s="652"/>
      <c r="T209" s="652"/>
    </row>
    <row r="210" spans="1:21" ht="19.5" customHeight="1" thickBot="1" x14ac:dyDescent="0.25">
      <c r="A210" s="651"/>
      <c r="B210" s="918">
        <v>37204137</v>
      </c>
      <c r="C210" s="919"/>
      <c r="D210" s="887" t="s">
        <v>379</v>
      </c>
      <c r="E210" s="887"/>
      <c r="F210" s="887"/>
      <c r="G210" s="406" t="s">
        <v>287</v>
      </c>
      <c r="H210" s="850" t="s">
        <v>284</v>
      </c>
      <c r="I210" s="850"/>
      <c r="J210" s="406">
        <v>3</v>
      </c>
      <c r="K210" s="406">
        <v>46</v>
      </c>
      <c r="L210" s="921" t="s">
        <v>903</v>
      </c>
      <c r="M210" s="921"/>
      <c r="N210" s="921" t="s">
        <v>345</v>
      </c>
      <c r="O210" s="921"/>
      <c r="P210" s="446">
        <v>90</v>
      </c>
      <c r="Q210" s="447">
        <v>3.56E-2</v>
      </c>
      <c r="R210" s="459">
        <v>1</v>
      </c>
      <c r="S210" s="652"/>
      <c r="T210" s="652"/>
    </row>
    <row r="211" spans="1:21" ht="28.5" customHeight="1" x14ac:dyDescent="0.2">
      <c r="A211" s="651"/>
      <c r="B211" s="893">
        <v>37204121</v>
      </c>
      <c r="C211" s="888"/>
      <c r="D211" s="894" t="s">
        <v>380</v>
      </c>
      <c r="E211" s="894"/>
      <c r="F211" s="894"/>
      <c r="G211" s="888" t="s">
        <v>287</v>
      </c>
      <c r="H211" s="843" t="s">
        <v>284</v>
      </c>
      <c r="I211" s="843"/>
      <c r="J211" s="888">
        <v>6</v>
      </c>
      <c r="K211" s="888">
        <v>50</v>
      </c>
      <c r="L211" s="905" t="s">
        <v>381</v>
      </c>
      <c r="M211" s="905"/>
      <c r="N211" s="905" t="s">
        <v>271</v>
      </c>
      <c r="O211" s="905"/>
      <c r="P211" s="452">
        <v>54</v>
      </c>
      <c r="Q211" s="453">
        <v>2.1399999999999999E-2</v>
      </c>
      <c r="R211" s="895">
        <v>1</v>
      </c>
      <c r="S211" s="652"/>
      <c r="T211" s="652"/>
    </row>
    <row r="212" spans="1:21" ht="28.5" customHeight="1" thickBot="1" x14ac:dyDescent="0.25">
      <c r="A212" s="651"/>
      <c r="B212" s="878"/>
      <c r="C212" s="879"/>
      <c r="D212" s="881"/>
      <c r="E212" s="881"/>
      <c r="F212" s="881"/>
      <c r="G212" s="879"/>
      <c r="H212" s="800"/>
      <c r="I212" s="800"/>
      <c r="J212" s="879"/>
      <c r="K212" s="879"/>
      <c r="L212" s="890" t="s">
        <v>356</v>
      </c>
      <c r="M212" s="890"/>
      <c r="N212" s="890" t="s">
        <v>345</v>
      </c>
      <c r="O212" s="890"/>
      <c r="P212" s="454">
        <v>117</v>
      </c>
      <c r="Q212" s="455">
        <v>4.6300000000000001E-2</v>
      </c>
      <c r="R212" s="897"/>
      <c r="S212" s="652"/>
      <c r="T212" s="652"/>
      <c r="U212" s="465"/>
    </row>
    <row r="213" spans="1:21" ht="29.25" customHeight="1" thickBot="1" x14ac:dyDescent="0.25">
      <c r="A213" s="651"/>
      <c r="B213" s="924">
        <v>37204106</v>
      </c>
      <c r="C213" s="850"/>
      <c r="D213" s="887" t="s">
        <v>382</v>
      </c>
      <c r="E213" s="887"/>
      <c r="F213" s="887"/>
      <c r="G213" s="406" t="s">
        <v>287</v>
      </c>
      <c r="H213" s="850" t="s">
        <v>284</v>
      </c>
      <c r="I213" s="850"/>
      <c r="J213" s="406">
        <v>3</v>
      </c>
      <c r="K213" s="406">
        <v>52</v>
      </c>
      <c r="L213" s="921" t="s">
        <v>352</v>
      </c>
      <c r="M213" s="921"/>
      <c r="N213" s="921" t="s">
        <v>266</v>
      </c>
      <c r="O213" s="921"/>
      <c r="P213" s="446">
        <v>180</v>
      </c>
      <c r="Q213" s="447">
        <v>7.1199999999999999E-2</v>
      </c>
      <c r="R213" s="459">
        <v>1</v>
      </c>
      <c r="S213" s="652"/>
      <c r="T213" s="652"/>
    </row>
    <row r="214" spans="1:21" ht="27" customHeight="1" thickBot="1" x14ac:dyDescent="0.25">
      <c r="A214" s="651"/>
      <c r="B214" s="924">
        <v>37204104</v>
      </c>
      <c r="C214" s="850"/>
      <c r="D214" s="887" t="s">
        <v>383</v>
      </c>
      <c r="E214" s="887"/>
      <c r="F214" s="887"/>
      <c r="G214" s="418" t="s">
        <v>287</v>
      </c>
      <c r="H214" s="850" t="s">
        <v>284</v>
      </c>
      <c r="I214" s="850"/>
      <c r="J214" s="418">
        <v>5</v>
      </c>
      <c r="K214" s="418">
        <v>49</v>
      </c>
      <c r="L214" s="890" t="s">
        <v>384</v>
      </c>
      <c r="M214" s="890"/>
      <c r="N214" s="890" t="s">
        <v>304</v>
      </c>
      <c r="O214" s="890"/>
      <c r="P214" s="457">
        <v>54</v>
      </c>
      <c r="Q214" s="458">
        <v>2.1399999999999999E-2</v>
      </c>
      <c r="R214" s="462">
        <v>1</v>
      </c>
      <c r="S214" s="652"/>
      <c r="T214" s="652"/>
    </row>
    <row r="215" spans="1:21" ht="15" customHeight="1" x14ac:dyDescent="0.2">
      <c r="A215" s="651"/>
      <c r="B215" s="915">
        <v>37204109</v>
      </c>
      <c r="C215" s="843"/>
      <c r="D215" s="894" t="s">
        <v>385</v>
      </c>
      <c r="E215" s="894"/>
      <c r="F215" s="894"/>
      <c r="G215" s="888" t="s">
        <v>287</v>
      </c>
      <c r="H215" s="843" t="s">
        <v>284</v>
      </c>
      <c r="I215" s="843"/>
      <c r="J215" s="888">
        <v>6</v>
      </c>
      <c r="K215" s="888">
        <v>47</v>
      </c>
      <c r="L215" s="905" t="s">
        <v>360</v>
      </c>
      <c r="M215" s="905"/>
      <c r="N215" s="905" t="s">
        <v>271</v>
      </c>
      <c r="O215" s="905"/>
      <c r="P215" s="905">
        <v>117</v>
      </c>
      <c r="Q215" s="906">
        <v>4.6300000000000001E-2</v>
      </c>
      <c r="R215" s="895">
        <v>1</v>
      </c>
      <c r="S215" s="652"/>
      <c r="T215" s="652"/>
    </row>
    <row r="216" spans="1:21" x14ac:dyDescent="0.2">
      <c r="A216" s="651"/>
      <c r="B216" s="916"/>
      <c r="C216" s="798"/>
      <c r="D216" s="880"/>
      <c r="E216" s="880"/>
      <c r="F216" s="880"/>
      <c r="G216" s="877"/>
      <c r="H216" s="798"/>
      <c r="I216" s="798"/>
      <c r="J216" s="877"/>
      <c r="K216" s="877"/>
      <c r="L216" s="890"/>
      <c r="M216" s="890"/>
      <c r="N216" s="890"/>
      <c r="O216" s="890"/>
      <c r="P216" s="890"/>
      <c r="Q216" s="984"/>
      <c r="R216" s="896"/>
      <c r="S216" s="652"/>
      <c r="T216" s="652"/>
    </row>
    <row r="217" spans="1:21" ht="26.25" customHeight="1" x14ac:dyDescent="0.2">
      <c r="A217" s="651"/>
      <c r="B217" s="916"/>
      <c r="C217" s="798"/>
      <c r="D217" s="880"/>
      <c r="E217" s="880"/>
      <c r="F217" s="880"/>
      <c r="G217" s="877"/>
      <c r="H217" s="798"/>
      <c r="I217" s="798"/>
      <c r="J217" s="877"/>
      <c r="K217" s="877"/>
      <c r="L217" s="890" t="s">
        <v>375</v>
      </c>
      <c r="M217" s="890"/>
      <c r="N217" s="890" t="s">
        <v>271</v>
      </c>
      <c r="O217" s="890"/>
      <c r="P217" s="457">
        <v>63</v>
      </c>
      <c r="Q217" s="458">
        <v>2.4899999999999999E-2</v>
      </c>
      <c r="R217" s="896"/>
      <c r="S217" s="652"/>
      <c r="T217" s="652"/>
    </row>
    <row r="218" spans="1:21" ht="17.25" customHeight="1" x14ac:dyDescent="0.2">
      <c r="A218" s="651"/>
      <c r="B218" s="916"/>
      <c r="C218" s="798"/>
      <c r="D218" s="880"/>
      <c r="E218" s="880"/>
      <c r="F218" s="880"/>
      <c r="G218" s="877"/>
      <c r="H218" s="798"/>
      <c r="I218" s="798"/>
      <c r="J218" s="877"/>
      <c r="K218" s="877"/>
      <c r="L218" s="890" t="s">
        <v>373</v>
      </c>
      <c r="M218" s="890"/>
      <c r="N218" s="890" t="s">
        <v>280</v>
      </c>
      <c r="O218" s="890"/>
      <c r="P218" s="457">
        <v>216</v>
      </c>
      <c r="Q218" s="458">
        <v>8.5400000000000004E-2</v>
      </c>
      <c r="R218" s="896"/>
      <c r="S218" s="652"/>
      <c r="T218" s="652"/>
    </row>
    <row r="219" spans="1:21" ht="27.75" customHeight="1" x14ac:dyDescent="0.2">
      <c r="A219" s="651"/>
      <c r="B219" s="916"/>
      <c r="C219" s="798"/>
      <c r="D219" s="880"/>
      <c r="E219" s="880"/>
      <c r="F219" s="880"/>
      <c r="G219" s="877"/>
      <c r="H219" s="798"/>
      <c r="I219" s="798"/>
      <c r="J219" s="877"/>
      <c r="K219" s="877"/>
      <c r="L219" s="890" t="s">
        <v>381</v>
      </c>
      <c r="M219" s="890"/>
      <c r="N219" s="890" t="s">
        <v>271</v>
      </c>
      <c r="O219" s="890"/>
      <c r="P219" s="457">
        <v>54</v>
      </c>
      <c r="Q219" s="458">
        <v>2.1399999999999999E-2</v>
      </c>
      <c r="R219" s="896"/>
      <c r="S219" s="652"/>
      <c r="T219" s="652"/>
    </row>
    <row r="220" spans="1:21" ht="25.5" customHeight="1" thickBot="1" x14ac:dyDescent="0.25">
      <c r="A220" s="651"/>
      <c r="B220" s="917"/>
      <c r="C220" s="800"/>
      <c r="D220" s="881"/>
      <c r="E220" s="881"/>
      <c r="F220" s="881"/>
      <c r="G220" s="879"/>
      <c r="H220" s="800"/>
      <c r="I220" s="800"/>
      <c r="J220" s="879"/>
      <c r="K220" s="879"/>
      <c r="L220" s="892" t="s">
        <v>981</v>
      </c>
      <c r="M220" s="892"/>
      <c r="N220" s="892" t="s">
        <v>275</v>
      </c>
      <c r="O220" s="892"/>
      <c r="P220" s="450">
        <v>126</v>
      </c>
      <c r="Q220" s="451">
        <v>4.9799999999999997E-2</v>
      </c>
      <c r="R220" s="897"/>
      <c r="S220" s="652"/>
      <c r="T220" s="652"/>
    </row>
    <row r="221" spans="1:21" ht="31.5" customHeight="1" thickBot="1" x14ac:dyDescent="0.25">
      <c r="A221" s="651"/>
      <c r="B221" s="916">
        <v>37204135</v>
      </c>
      <c r="C221" s="798"/>
      <c r="D221" s="880" t="s">
        <v>386</v>
      </c>
      <c r="E221" s="880"/>
      <c r="F221" s="880"/>
      <c r="G221" s="418" t="s">
        <v>287</v>
      </c>
      <c r="H221" s="798" t="s">
        <v>284</v>
      </c>
      <c r="I221" s="798"/>
      <c r="J221" s="418">
        <v>8</v>
      </c>
      <c r="K221" s="418">
        <v>46</v>
      </c>
      <c r="L221" s="890" t="s">
        <v>373</v>
      </c>
      <c r="M221" s="890"/>
      <c r="N221" s="890" t="s">
        <v>280</v>
      </c>
      <c r="O221" s="890"/>
      <c r="P221" s="457">
        <v>216</v>
      </c>
      <c r="Q221" s="458">
        <v>8.5400000000000004E-2</v>
      </c>
      <c r="R221" s="462">
        <v>2</v>
      </c>
      <c r="S221" s="652"/>
      <c r="T221" s="652"/>
    </row>
    <row r="222" spans="1:21" ht="24.75" customHeight="1" x14ac:dyDescent="0.2">
      <c r="A222" s="651"/>
      <c r="B222" s="893">
        <v>37204107</v>
      </c>
      <c r="C222" s="888"/>
      <c r="D222" s="894" t="s">
        <v>387</v>
      </c>
      <c r="E222" s="894"/>
      <c r="F222" s="894"/>
      <c r="G222" s="888" t="s">
        <v>287</v>
      </c>
      <c r="H222" s="843" t="s">
        <v>284</v>
      </c>
      <c r="I222" s="843"/>
      <c r="J222" s="888">
        <v>7</v>
      </c>
      <c r="K222" s="888">
        <v>44</v>
      </c>
      <c r="L222" s="905" t="s">
        <v>362</v>
      </c>
      <c r="M222" s="905"/>
      <c r="N222" s="905" t="s">
        <v>266</v>
      </c>
      <c r="O222" s="905"/>
      <c r="P222" s="452">
        <v>90</v>
      </c>
      <c r="Q222" s="453">
        <v>3.56E-2</v>
      </c>
      <c r="R222" s="895">
        <v>1</v>
      </c>
      <c r="S222" s="652"/>
      <c r="T222" s="652"/>
    </row>
    <row r="223" spans="1:21" ht="27.75" customHeight="1" thickBot="1" x14ac:dyDescent="0.25">
      <c r="A223" s="651"/>
      <c r="B223" s="878"/>
      <c r="C223" s="879"/>
      <c r="D223" s="881"/>
      <c r="E223" s="881"/>
      <c r="F223" s="881"/>
      <c r="G223" s="879"/>
      <c r="H223" s="800"/>
      <c r="I223" s="800"/>
      <c r="J223" s="879"/>
      <c r="K223" s="879"/>
      <c r="L223" s="892" t="s">
        <v>992</v>
      </c>
      <c r="M223" s="892"/>
      <c r="N223" s="892" t="s">
        <v>304</v>
      </c>
      <c r="O223" s="892"/>
      <c r="P223" s="454">
        <v>27</v>
      </c>
      <c r="Q223" s="455">
        <v>1.0699999999999999E-2</v>
      </c>
      <c r="R223" s="897"/>
      <c r="S223" s="652"/>
      <c r="T223" s="652"/>
    </row>
    <row r="224" spans="1:21" ht="21" customHeight="1" thickBot="1" x14ac:dyDescent="0.25">
      <c r="A224" s="651"/>
      <c r="B224" s="916">
        <v>37204126</v>
      </c>
      <c r="C224" s="798"/>
      <c r="D224" s="880" t="s">
        <v>388</v>
      </c>
      <c r="E224" s="880"/>
      <c r="F224" s="880"/>
      <c r="G224" s="418" t="s">
        <v>287</v>
      </c>
      <c r="H224" s="798" t="s">
        <v>284</v>
      </c>
      <c r="I224" s="798"/>
      <c r="J224" s="418">
        <v>6</v>
      </c>
      <c r="K224" s="418">
        <v>42</v>
      </c>
      <c r="L224" s="890" t="s">
        <v>342</v>
      </c>
      <c r="M224" s="890"/>
      <c r="N224" s="890" t="s">
        <v>263</v>
      </c>
      <c r="O224" s="890"/>
      <c r="P224" s="452">
        <v>324</v>
      </c>
      <c r="Q224" s="453">
        <v>0.129</v>
      </c>
      <c r="R224" s="462">
        <v>1</v>
      </c>
      <c r="S224" s="652"/>
      <c r="T224" s="652"/>
    </row>
    <row r="225" spans="1:25" ht="33" customHeight="1" thickBot="1" x14ac:dyDescent="0.25">
      <c r="A225" s="651"/>
      <c r="B225" s="924">
        <v>37204110</v>
      </c>
      <c r="C225" s="850"/>
      <c r="D225" s="887" t="s">
        <v>389</v>
      </c>
      <c r="E225" s="887"/>
      <c r="F225" s="887"/>
      <c r="G225" s="406" t="s">
        <v>287</v>
      </c>
      <c r="H225" s="850" t="s">
        <v>284</v>
      </c>
      <c r="I225" s="850"/>
      <c r="J225" s="406">
        <v>4</v>
      </c>
      <c r="K225" s="406">
        <v>51</v>
      </c>
      <c r="L225" s="921" t="s">
        <v>390</v>
      </c>
      <c r="M225" s="921"/>
      <c r="N225" s="921" t="s">
        <v>271</v>
      </c>
      <c r="O225" s="921"/>
      <c r="P225" s="446">
        <v>58.5</v>
      </c>
      <c r="Q225" s="447">
        <v>2.3099999999999999E-2</v>
      </c>
      <c r="R225" s="459">
        <v>1</v>
      </c>
      <c r="S225" s="652"/>
      <c r="T225" s="652"/>
    </row>
    <row r="226" spans="1:25" ht="21" customHeight="1" x14ac:dyDescent="0.2">
      <c r="A226" s="651"/>
      <c r="B226" s="916">
        <v>37204136</v>
      </c>
      <c r="C226" s="798"/>
      <c r="D226" s="880" t="s">
        <v>1244</v>
      </c>
      <c r="E226" s="880"/>
      <c r="F226" s="880"/>
      <c r="G226" s="418" t="s">
        <v>287</v>
      </c>
      <c r="H226" s="798" t="s">
        <v>284</v>
      </c>
      <c r="I226" s="798"/>
      <c r="J226" s="418">
        <v>3</v>
      </c>
      <c r="K226" s="418">
        <v>35</v>
      </c>
      <c r="L226" s="890" t="s">
        <v>981</v>
      </c>
      <c r="M226" s="890"/>
      <c r="N226" s="890" t="s">
        <v>275</v>
      </c>
      <c r="O226" s="890"/>
      <c r="P226" s="452">
        <v>126</v>
      </c>
      <c r="Q226" s="453">
        <v>4.9799999999999997E-2</v>
      </c>
      <c r="R226" s="462">
        <v>1</v>
      </c>
      <c r="S226" s="652"/>
      <c r="T226" s="652"/>
    </row>
    <row r="227" spans="1:25" ht="32.25" customHeight="1" thickBot="1" x14ac:dyDescent="0.25">
      <c r="A227" s="651"/>
      <c r="B227" s="878">
        <v>37204218</v>
      </c>
      <c r="C227" s="879"/>
      <c r="D227" s="881" t="s">
        <v>391</v>
      </c>
      <c r="E227" s="881"/>
      <c r="F227" s="881"/>
      <c r="G227" s="405" t="s">
        <v>287</v>
      </c>
      <c r="H227" s="800" t="s">
        <v>317</v>
      </c>
      <c r="I227" s="800"/>
      <c r="J227" s="405">
        <v>3</v>
      </c>
      <c r="K227" s="405">
        <v>14</v>
      </c>
      <c r="L227" s="892" t="s">
        <v>265</v>
      </c>
      <c r="M227" s="892"/>
      <c r="N227" s="892" t="s">
        <v>266</v>
      </c>
      <c r="O227" s="892"/>
      <c r="P227" s="450">
        <v>63</v>
      </c>
      <c r="Q227" s="451">
        <v>2.5100000000000001E-2</v>
      </c>
      <c r="R227" s="461">
        <v>1</v>
      </c>
      <c r="S227" s="652"/>
      <c r="T227" s="652"/>
    </row>
    <row r="228" spans="1:25" ht="30" customHeight="1" thickBot="1" x14ac:dyDescent="0.25">
      <c r="A228" s="651"/>
      <c r="B228" s="876">
        <v>37204221</v>
      </c>
      <c r="C228" s="877"/>
      <c r="D228" s="880" t="s">
        <v>392</v>
      </c>
      <c r="E228" s="880"/>
      <c r="F228" s="880"/>
      <c r="G228" s="418" t="s">
        <v>287</v>
      </c>
      <c r="H228" s="798" t="s">
        <v>317</v>
      </c>
      <c r="I228" s="798"/>
      <c r="J228" s="418">
        <v>3</v>
      </c>
      <c r="K228" s="418">
        <v>18</v>
      </c>
      <c r="L228" s="890" t="s">
        <v>982</v>
      </c>
      <c r="M228" s="890"/>
      <c r="N228" s="890" t="s">
        <v>304</v>
      </c>
      <c r="O228" s="890"/>
      <c r="P228" s="64">
        <v>36</v>
      </c>
      <c r="Q228" s="456">
        <v>1.4200000000000001E-2</v>
      </c>
      <c r="R228" s="462">
        <v>1</v>
      </c>
      <c r="S228" s="652"/>
      <c r="T228" s="652"/>
      <c r="W228" s="650"/>
      <c r="X228" s="63"/>
      <c r="Y228" s="63"/>
    </row>
    <row r="229" spans="1:25" ht="19.5" customHeight="1" x14ac:dyDescent="0.2">
      <c r="A229" s="651"/>
      <c r="B229" s="893">
        <v>37204224</v>
      </c>
      <c r="C229" s="888"/>
      <c r="D229" s="894" t="s">
        <v>393</v>
      </c>
      <c r="E229" s="894"/>
      <c r="F229" s="894"/>
      <c r="G229" s="419" t="s">
        <v>287</v>
      </c>
      <c r="H229" s="843" t="s">
        <v>317</v>
      </c>
      <c r="I229" s="843"/>
      <c r="J229" s="419">
        <v>3</v>
      </c>
      <c r="K229" s="419">
        <v>18</v>
      </c>
      <c r="L229" s="905" t="s">
        <v>903</v>
      </c>
      <c r="M229" s="905"/>
      <c r="N229" s="905" t="s">
        <v>345</v>
      </c>
      <c r="O229" s="905"/>
      <c r="P229" s="452">
        <v>90</v>
      </c>
      <c r="Q229" s="453">
        <v>3.56E-2</v>
      </c>
      <c r="R229" s="460">
        <v>1</v>
      </c>
      <c r="S229" s="652"/>
      <c r="T229" s="652"/>
    </row>
    <row r="230" spans="1:25" ht="15" customHeight="1" x14ac:dyDescent="0.2">
      <c r="A230" s="651"/>
      <c r="B230" s="876">
        <v>37204116</v>
      </c>
      <c r="C230" s="877"/>
      <c r="D230" s="880" t="s">
        <v>394</v>
      </c>
      <c r="E230" s="880"/>
      <c r="F230" s="880"/>
      <c r="G230" s="877" t="s">
        <v>300</v>
      </c>
      <c r="H230" s="798" t="s">
        <v>284</v>
      </c>
      <c r="I230" s="798"/>
      <c r="J230" s="877">
        <v>3</v>
      </c>
      <c r="K230" s="877">
        <v>38</v>
      </c>
      <c r="L230" s="890" t="s">
        <v>993</v>
      </c>
      <c r="M230" s="890"/>
      <c r="N230" s="890" t="s">
        <v>295</v>
      </c>
      <c r="O230" s="890"/>
      <c r="P230" s="890">
        <v>27</v>
      </c>
      <c r="Q230" s="984">
        <v>1.0699999999999999E-2</v>
      </c>
      <c r="R230" s="896">
        <v>1</v>
      </c>
      <c r="S230" s="652"/>
      <c r="T230" s="652"/>
    </row>
    <row r="231" spans="1:25" ht="16" thickBot="1" x14ac:dyDescent="0.25">
      <c r="A231" s="651"/>
      <c r="B231" s="878"/>
      <c r="C231" s="879"/>
      <c r="D231" s="881"/>
      <c r="E231" s="881"/>
      <c r="F231" s="881"/>
      <c r="G231" s="879"/>
      <c r="H231" s="800"/>
      <c r="I231" s="800"/>
      <c r="J231" s="879"/>
      <c r="K231" s="879"/>
      <c r="L231" s="892"/>
      <c r="M231" s="892"/>
      <c r="N231" s="892"/>
      <c r="O231" s="892"/>
      <c r="P231" s="892"/>
      <c r="Q231" s="907"/>
      <c r="R231" s="897"/>
      <c r="S231" s="652"/>
      <c r="T231" s="652"/>
    </row>
    <row r="232" spans="1:25" ht="31.5" customHeight="1" thickBot="1" x14ac:dyDescent="0.25">
      <c r="A232" s="651"/>
      <c r="B232" s="878">
        <v>37204117</v>
      </c>
      <c r="C232" s="879"/>
      <c r="D232" s="881" t="s">
        <v>395</v>
      </c>
      <c r="E232" s="881"/>
      <c r="F232" s="881"/>
      <c r="G232" s="405" t="s">
        <v>300</v>
      </c>
      <c r="H232" s="800" t="s">
        <v>284</v>
      </c>
      <c r="I232" s="800"/>
      <c r="J232" s="405">
        <v>3</v>
      </c>
      <c r="K232" s="405">
        <v>45</v>
      </c>
      <c r="L232" s="892" t="s">
        <v>994</v>
      </c>
      <c r="M232" s="892"/>
      <c r="N232" s="892" t="s">
        <v>271</v>
      </c>
      <c r="O232" s="892"/>
      <c r="P232" s="454">
        <v>27</v>
      </c>
      <c r="Q232" s="455">
        <v>1.0699999999999999E-2</v>
      </c>
      <c r="R232" s="461">
        <v>1</v>
      </c>
      <c r="S232" s="652"/>
      <c r="T232" s="652"/>
    </row>
    <row r="233" spans="1:25" ht="24.75" customHeight="1" x14ac:dyDescent="0.2">
      <c r="A233" s="651"/>
      <c r="B233" s="876">
        <v>37204118</v>
      </c>
      <c r="C233" s="877"/>
      <c r="D233" s="880" t="s">
        <v>396</v>
      </c>
      <c r="E233" s="880"/>
      <c r="F233" s="880"/>
      <c r="G233" s="877" t="s">
        <v>397</v>
      </c>
      <c r="H233" s="798" t="s">
        <v>284</v>
      </c>
      <c r="I233" s="798"/>
      <c r="J233" s="877">
        <v>3</v>
      </c>
      <c r="K233" s="877">
        <v>37</v>
      </c>
      <c r="L233" s="890" t="s">
        <v>390</v>
      </c>
      <c r="M233" s="890"/>
      <c r="N233" s="890" t="s">
        <v>271</v>
      </c>
      <c r="O233" s="890"/>
      <c r="P233" s="457">
        <v>58.5</v>
      </c>
      <c r="Q233" s="458">
        <v>2.3099999999999999E-2</v>
      </c>
      <c r="R233" s="896">
        <v>1</v>
      </c>
      <c r="S233" s="652"/>
      <c r="T233" s="652"/>
    </row>
    <row r="234" spans="1:25" ht="21.75" customHeight="1" thickBot="1" x14ac:dyDescent="0.25">
      <c r="A234" s="651"/>
      <c r="B234" s="878"/>
      <c r="C234" s="879"/>
      <c r="D234" s="881"/>
      <c r="E234" s="881"/>
      <c r="F234" s="881"/>
      <c r="G234" s="879"/>
      <c r="H234" s="800"/>
      <c r="I234" s="800"/>
      <c r="J234" s="879"/>
      <c r="K234" s="879"/>
      <c r="L234" s="892" t="s">
        <v>290</v>
      </c>
      <c r="M234" s="892"/>
      <c r="N234" s="892" t="s">
        <v>280</v>
      </c>
      <c r="O234" s="892"/>
      <c r="P234" s="454">
        <v>4.5</v>
      </c>
      <c r="Q234" s="455">
        <v>1.8E-3</v>
      </c>
      <c r="R234" s="897"/>
      <c r="S234" s="652"/>
      <c r="T234" s="652"/>
    </row>
    <row r="235" spans="1:25" ht="15" customHeight="1" x14ac:dyDescent="0.2">
      <c r="A235" s="651"/>
      <c r="B235" s="876">
        <v>37204114</v>
      </c>
      <c r="C235" s="877"/>
      <c r="D235" s="880" t="s">
        <v>398</v>
      </c>
      <c r="E235" s="880"/>
      <c r="F235" s="880"/>
      <c r="G235" s="877" t="s">
        <v>300</v>
      </c>
      <c r="H235" s="798" t="s">
        <v>284</v>
      </c>
      <c r="I235" s="798"/>
      <c r="J235" s="877">
        <v>3</v>
      </c>
      <c r="K235" s="877">
        <v>47</v>
      </c>
      <c r="L235" s="905" t="s">
        <v>903</v>
      </c>
      <c r="M235" s="905"/>
      <c r="N235" s="905" t="s">
        <v>345</v>
      </c>
      <c r="O235" s="905"/>
      <c r="P235" s="890">
        <v>90</v>
      </c>
      <c r="Q235" s="984">
        <v>3.56E-2</v>
      </c>
      <c r="R235" s="896">
        <v>1</v>
      </c>
      <c r="S235" s="652"/>
      <c r="T235" s="652"/>
    </row>
    <row r="236" spans="1:25" ht="16" thickBot="1" x14ac:dyDescent="0.25">
      <c r="A236" s="651"/>
      <c r="B236" s="876"/>
      <c r="C236" s="877"/>
      <c r="D236" s="880"/>
      <c r="E236" s="880"/>
      <c r="F236" s="880"/>
      <c r="G236" s="877"/>
      <c r="H236" s="798"/>
      <c r="I236" s="798"/>
      <c r="J236" s="877"/>
      <c r="K236" s="877"/>
      <c r="L236" s="892"/>
      <c r="M236" s="892"/>
      <c r="N236" s="892"/>
      <c r="O236" s="892"/>
      <c r="P236" s="890"/>
      <c r="Q236" s="984"/>
      <c r="R236" s="896"/>
      <c r="S236" s="652"/>
      <c r="T236" s="652"/>
    </row>
    <row r="237" spans="1:25" ht="28.5" customHeight="1" x14ac:dyDescent="0.2">
      <c r="A237" s="651"/>
      <c r="B237" s="915">
        <v>37204127</v>
      </c>
      <c r="C237" s="843"/>
      <c r="D237" s="894" t="s">
        <v>399</v>
      </c>
      <c r="E237" s="894"/>
      <c r="F237" s="894"/>
      <c r="G237" s="888" t="s">
        <v>300</v>
      </c>
      <c r="H237" s="843" t="s">
        <v>284</v>
      </c>
      <c r="I237" s="843"/>
      <c r="J237" s="888">
        <v>6</v>
      </c>
      <c r="K237" s="888">
        <v>35</v>
      </c>
      <c r="L237" s="889" t="s">
        <v>343</v>
      </c>
      <c r="M237" s="889"/>
      <c r="N237" s="905" t="s">
        <v>266</v>
      </c>
      <c r="O237" s="905"/>
      <c r="P237" s="452">
        <v>194</v>
      </c>
      <c r="Q237" s="453">
        <v>7.7100000000000002E-2</v>
      </c>
      <c r="R237" s="895">
        <v>1</v>
      </c>
      <c r="S237" s="652"/>
      <c r="T237" s="652"/>
    </row>
    <row r="238" spans="1:25" ht="28.5" customHeight="1" x14ac:dyDescent="0.2">
      <c r="A238" s="651"/>
      <c r="B238" s="916"/>
      <c r="C238" s="798"/>
      <c r="D238" s="880"/>
      <c r="E238" s="880"/>
      <c r="F238" s="880"/>
      <c r="G238" s="877"/>
      <c r="H238" s="798"/>
      <c r="I238" s="798"/>
      <c r="J238" s="877"/>
      <c r="K238" s="877"/>
      <c r="L238" s="889" t="s">
        <v>981</v>
      </c>
      <c r="M238" s="889"/>
      <c r="N238" s="890" t="s">
        <v>275</v>
      </c>
      <c r="O238" s="890"/>
      <c r="P238" s="457">
        <v>126</v>
      </c>
      <c r="Q238" s="458">
        <v>4.9799999999999997E-2</v>
      </c>
      <c r="R238" s="896"/>
      <c r="S238" s="652"/>
      <c r="T238" s="652"/>
    </row>
    <row r="239" spans="1:25" ht="28.5" customHeight="1" thickBot="1" x14ac:dyDescent="0.25">
      <c r="A239" s="651"/>
      <c r="B239" s="917"/>
      <c r="C239" s="800"/>
      <c r="D239" s="881"/>
      <c r="E239" s="881"/>
      <c r="F239" s="881"/>
      <c r="G239" s="879"/>
      <c r="H239" s="800"/>
      <c r="I239" s="800"/>
      <c r="J239" s="879"/>
      <c r="K239" s="879"/>
      <c r="L239" s="891" t="s">
        <v>342</v>
      </c>
      <c r="M239" s="891"/>
      <c r="N239" s="892" t="s">
        <v>263</v>
      </c>
      <c r="O239" s="892"/>
      <c r="P239" s="454">
        <v>324</v>
      </c>
      <c r="Q239" s="455">
        <v>0.129</v>
      </c>
      <c r="R239" s="897"/>
      <c r="S239" s="652"/>
      <c r="T239" s="652"/>
    </row>
    <row r="240" spans="1:25" ht="27.75" customHeight="1" thickBot="1" x14ac:dyDescent="0.25">
      <c r="A240" s="651"/>
      <c r="B240" s="918">
        <v>37204128</v>
      </c>
      <c r="C240" s="919"/>
      <c r="D240" s="887" t="s">
        <v>400</v>
      </c>
      <c r="E240" s="887"/>
      <c r="F240" s="887"/>
      <c r="G240" s="406" t="s">
        <v>300</v>
      </c>
      <c r="H240" s="850" t="s">
        <v>284</v>
      </c>
      <c r="I240" s="850"/>
      <c r="J240" s="406">
        <v>6</v>
      </c>
      <c r="K240" s="406">
        <v>38</v>
      </c>
      <c r="L240" s="921" t="s">
        <v>343</v>
      </c>
      <c r="M240" s="921"/>
      <c r="N240" s="921" t="s">
        <v>266</v>
      </c>
      <c r="O240" s="921"/>
      <c r="P240" s="446">
        <v>194</v>
      </c>
      <c r="Q240" s="447">
        <v>7.7100000000000002E-2</v>
      </c>
      <c r="R240" s="459">
        <v>1</v>
      </c>
      <c r="S240" s="652"/>
      <c r="T240" s="652"/>
    </row>
    <row r="241" spans="1:20" ht="26.25" customHeight="1" thickBot="1" x14ac:dyDescent="0.25">
      <c r="A241" s="651"/>
      <c r="B241" s="876">
        <v>37204129</v>
      </c>
      <c r="C241" s="877"/>
      <c r="D241" s="880" t="s">
        <v>401</v>
      </c>
      <c r="E241" s="880"/>
      <c r="F241" s="880"/>
      <c r="G241" s="418" t="s">
        <v>300</v>
      </c>
      <c r="H241" s="798" t="s">
        <v>284</v>
      </c>
      <c r="I241" s="798"/>
      <c r="J241" s="418">
        <v>6</v>
      </c>
      <c r="K241" s="418">
        <v>41</v>
      </c>
      <c r="L241" s="890" t="s">
        <v>343</v>
      </c>
      <c r="M241" s="890"/>
      <c r="N241" s="890" t="s">
        <v>266</v>
      </c>
      <c r="O241" s="890"/>
      <c r="P241" s="457">
        <v>194</v>
      </c>
      <c r="Q241" s="458">
        <v>7.7100000000000002E-2</v>
      </c>
      <c r="R241" s="462">
        <v>1</v>
      </c>
      <c r="S241" s="652"/>
      <c r="T241" s="652"/>
    </row>
    <row r="242" spans="1:20" ht="24" customHeight="1" x14ac:dyDescent="0.2">
      <c r="A242" s="651"/>
      <c r="B242" s="893">
        <v>37204131</v>
      </c>
      <c r="C242" s="888"/>
      <c r="D242" s="894" t="s">
        <v>402</v>
      </c>
      <c r="E242" s="894"/>
      <c r="F242" s="894"/>
      <c r="G242" s="888" t="s">
        <v>300</v>
      </c>
      <c r="H242" s="843" t="s">
        <v>284</v>
      </c>
      <c r="I242" s="843"/>
      <c r="J242" s="888">
        <v>6</v>
      </c>
      <c r="K242" s="888">
        <v>40</v>
      </c>
      <c r="L242" s="905" t="s">
        <v>352</v>
      </c>
      <c r="M242" s="905"/>
      <c r="N242" s="905" t="s">
        <v>266</v>
      </c>
      <c r="O242" s="905"/>
      <c r="P242" s="452">
        <v>180</v>
      </c>
      <c r="Q242" s="453">
        <v>7.1199999999999999E-2</v>
      </c>
      <c r="R242" s="460">
        <v>1</v>
      </c>
      <c r="S242" s="652"/>
      <c r="T242" s="652"/>
    </row>
    <row r="243" spans="1:20" ht="27" customHeight="1" thickBot="1" x14ac:dyDescent="0.25">
      <c r="A243" s="651"/>
      <c r="B243" s="878"/>
      <c r="C243" s="879"/>
      <c r="D243" s="881"/>
      <c r="E243" s="881"/>
      <c r="F243" s="881"/>
      <c r="G243" s="879"/>
      <c r="H243" s="800"/>
      <c r="I243" s="800"/>
      <c r="J243" s="879"/>
      <c r="K243" s="879"/>
      <c r="L243" s="891" t="s">
        <v>342</v>
      </c>
      <c r="M243" s="891"/>
      <c r="N243" s="892" t="s">
        <v>263</v>
      </c>
      <c r="O243" s="892"/>
      <c r="P243" s="454">
        <v>324</v>
      </c>
      <c r="Q243" s="455">
        <v>0.129</v>
      </c>
      <c r="R243" s="461">
        <v>1</v>
      </c>
      <c r="S243" s="652"/>
      <c r="T243" s="652"/>
    </row>
    <row r="244" spans="1:20" ht="21" customHeight="1" thickBot="1" x14ac:dyDescent="0.25">
      <c r="A244" s="651"/>
      <c r="B244" s="876">
        <v>37204130</v>
      </c>
      <c r="C244" s="877"/>
      <c r="D244" s="880" t="s">
        <v>403</v>
      </c>
      <c r="E244" s="880"/>
      <c r="F244" s="880"/>
      <c r="G244" s="418" t="s">
        <v>300</v>
      </c>
      <c r="H244" s="798" t="s">
        <v>284</v>
      </c>
      <c r="I244" s="798"/>
      <c r="J244" s="418">
        <v>6</v>
      </c>
      <c r="K244" s="418">
        <v>37</v>
      </c>
      <c r="L244" s="890" t="s">
        <v>1243</v>
      </c>
      <c r="M244" s="890"/>
      <c r="N244" s="890" t="s">
        <v>304</v>
      </c>
      <c r="O244" s="890"/>
      <c r="P244" s="450">
        <v>108</v>
      </c>
      <c r="Q244" s="451">
        <v>4.2700000000000002E-2</v>
      </c>
      <c r="R244" s="462">
        <v>1</v>
      </c>
      <c r="S244" s="652"/>
      <c r="T244" s="652"/>
    </row>
    <row r="245" spans="1:20" ht="32.25" customHeight="1" x14ac:dyDescent="0.2">
      <c r="A245" s="651"/>
      <c r="B245" s="893">
        <v>37204301</v>
      </c>
      <c r="C245" s="888"/>
      <c r="D245" s="894" t="s">
        <v>319</v>
      </c>
      <c r="E245" s="894"/>
      <c r="F245" s="894"/>
      <c r="G245" s="888" t="s">
        <v>300</v>
      </c>
      <c r="H245" s="843" t="s">
        <v>284</v>
      </c>
      <c r="I245" s="843"/>
      <c r="J245" s="888">
        <v>6</v>
      </c>
      <c r="K245" s="888">
        <v>46</v>
      </c>
      <c r="L245" s="920" t="s">
        <v>342</v>
      </c>
      <c r="M245" s="920"/>
      <c r="N245" s="905" t="s">
        <v>263</v>
      </c>
      <c r="O245" s="905"/>
      <c r="P245" s="452">
        <v>324</v>
      </c>
      <c r="Q245" s="453">
        <v>0.129</v>
      </c>
      <c r="R245" s="895">
        <v>1</v>
      </c>
      <c r="S245" s="652"/>
      <c r="T245" s="652"/>
    </row>
    <row r="246" spans="1:20" ht="32.25" customHeight="1" x14ac:dyDescent="0.2">
      <c r="A246" s="651"/>
      <c r="B246" s="876"/>
      <c r="C246" s="877"/>
      <c r="D246" s="880"/>
      <c r="E246" s="880"/>
      <c r="F246" s="880"/>
      <c r="G246" s="877"/>
      <c r="H246" s="798"/>
      <c r="I246" s="798"/>
      <c r="J246" s="877"/>
      <c r="K246" s="877"/>
      <c r="L246" s="889" t="s">
        <v>265</v>
      </c>
      <c r="M246" s="889"/>
      <c r="N246" s="890" t="s">
        <v>266</v>
      </c>
      <c r="O246" s="890"/>
      <c r="P246" s="64">
        <v>63</v>
      </c>
      <c r="Q246" s="456">
        <v>2.5100000000000001E-2</v>
      </c>
      <c r="R246" s="896"/>
      <c r="S246" s="652"/>
      <c r="T246" s="652"/>
    </row>
    <row r="247" spans="1:20" ht="29.25" customHeight="1" x14ac:dyDescent="0.2">
      <c r="A247" s="651"/>
      <c r="B247" s="876"/>
      <c r="C247" s="877"/>
      <c r="D247" s="880"/>
      <c r="E247" s="880"/>
      <c r="F247" s="880"/>
      <c r="G247" s="877"/>
      <c r="H247" s="798"/>
      <c r="I247" s="798"/>
      <c r="J247" s="877"/>
      <c r="K247" s="877"/>
      <c r="L247" s="889" t="s">
        <v>343</v>
      </c>
      <c r="M247" s="889"/>
      <c r="N247" s="890" t="s">
        <v>266</v>
      </c>
      <c r="O247" s="890"/>
      <c r="P247" s="457">
        <v>194</v>
      </c>
      <c r="Q247" s="458">
        <v>7.7100000000000002E-2</v>
      </c>
      <c r="R247" s="896"/>
      <c r="S247" s="652"/>
      <c r="T247" s="652"/>
    </row>
    <row r="248" spans="1:20" ht="24" customHeight="1" x14ac:dyDescent="0.2">
      <c r="A248" s="651"/>
      <c r="B248" s="876"/>
      <c r="C248" s="877"/>
      <c r="D248" s="880"/>
      <c r="E248" s="880"/>
      <c r="F248" s="880"/>
      <c r="G248" s="877"/>
      <c r="H248" s="798"/>
      <c r="I248" s="798"/>
      <c r="J248" s="877"/>
      <c r="K248" s="877"/>
      <c r="L248" s="890" t="s">
        <v>982</v>
      </c>
      <c r="M248" s="890"/>
      <c r="N248" s="890" t="s">
        <v>304</v>
      </c>
      <c r="O248" s="890"/>
      <c r="P248" s="457">
        <v>36</v>
      </c>
      <c r="Q248" s="458">
        <v>1.4200000000000001E-2</v>
      </c>
      <c r="R248" s="896"/>
      <c r="S248" s="652"/>
      <c r="T248" s="652"/>
    </row>
    <row r="249" spans="1:20" ht="21" customHeight="1" x14ac:dyDescent="0.2">
      <c r="A249" s="651"/>
      <c r="B249" s="876"/>
      <c r="C249" s="877"/>
      <c r="D249" s="880"/>
      <c r="E249" s="880"/>
      <c r="F249" s="880"/>
      <c r="G249" s="877"/>
      <c r="H249" s="798"/>
      <c r="I249" s="798"/>
      <c r="J249" s="877"/>
      <c r="K249" s="877"/>
      <c r="L249" s="974" t="s">
        <v>262</v>
      </c>
      <c r="M249" s="974"/>
      <c r="N249" s="898" t="s">
        <v>263</v>
      </c>
      <c r="O249" s="898"/>
      <c r="P249" s="457">
        <v>63</v>
      </c>
      <c r="Q249" s="458">
        <v>2.4899999999999999E-2</v>
      </c>
      <c r="R249" s="896"/>
      <c r="S249" s="652"/>
      <c r="T249" s="652"/>
    </row>
    <row r="250" spans="1:20" ht="21" customHeight="1" thickBot="1" x14ac:dyDescent="0.25">
      <c r="A250" s="651"/>
      <c r="B250" s="878"/>
      <c r="C250" s="879"/>
      <c r="D250" s="881"/>
      <c r="E250" s="881"/>
      <c r="F250" s="881"/>
      <c r="G250" s="879"/>
      <c r="H250" s="800"/>
      <c r="I250" s="800"/>
      <c r="J250" s="879"/>
      <c r="K250" s="879"/>
      <c r="L250" s="975" t="s">
        <v>981</v>
      </c>
      <c r="M250" s="975"/>
      <c r="N250" s="903" t="s">
        <v>275</v>
      </c>
      <c r="O250" s="903"/>
      <c r="P250" s="450">
        <v>126</v>
      </c>
      <c r="Q250" s="451">
        <v>4.9799999999999997E-2</v>
      </c>
      <c r="R250" s="897"/>
      <c r="S250" s="652"/>
      <c r="T250" s="652"/>
    </row>
    <row r="251" spans="1:20" ht="15" customHeight="1" x14ac:dyDescent="0.2">
      <c r="A251" s="651"/>
      <c r="B251" s="876">
        <v>37204223</v>
      </c>
      <c r="C251" s="877"/>
      <c r="D251" s="880" t="s">
        <v>404</v>
      </c>
      <c r="E251" s="880"/>
      <c r="F251" s="880"/>
      <c r="G251" s="877" t="s">
        <v>300</v>
      </c>
      <c r="H251" s="798" t="s">
        <v>317</v>
      </c>
      <c r="I251" s="798"/>
      <c r="J251" s="877">
        <v>3</v>
      </c>
      <c r="K251" s="877">
        <v>30</v>
      </c>
      <c r="L251" s="890" t="s">
        <v>373</v>
      </c>
      <c r="M251" s="890"/>
      <c r="N251" s="890" t="s">
        <v>280</v>
      </c>
      <c r="O251" s="890"/>
      <c r="P251" s="905">
        <v>216</v>
      </c>
      <c r="Q251" s="906">
        <v>8.5400000000000004E-2</v>
      </c>
      <c r="R251" s="896">
        <v>1</v>
      </c>
      <c r="S251" s="652"/>
      <c r="T251" s="652"/>
    </row>
    <row r="252" spans="1:20" ht="16" thickBot="1" x14ac:dyDescent="0.25">
      <c r="A252" s="651"/>
      <c r="B252" s="878"/>
      <c r="C252" s="879"/>
      <c r="D252" s="881"/>
      <c r="E252" s="881"/>
      <c r="F252" s="881"/>
      <c r="G252" s="879"/>
      <c r="H252" s="800"/>
      <c r="I252" s="800"/>
      <c r="J252" s="879"/>
      <c r="K252" s="879"/>
      <c r="L252" s="892"/>
      <c r="M252" s="892"/>
      <c r="N252" s="892"/>
      <c r="O252" s="892"/>
      <c r="P252" s="892"/>
      <c r="Q252" s="907"/>
      <c r="R252" s="897"/>
      <c r="S252" s="652"/>
      <c r="T252" s="652"/>
    </row>
    <row r="253" spans="1:20" ht="31.5" customHeight="1" thickBot="1" x14ac:dyDescent="0.25">
      <c r="A253" s="651"/>
      <c r="B253" s="878">
        <v>37204210</v>
      </c>
      <c r="C253" s="879"/>
      <c r="D253" s="881" t="s">
        <v>405</v>
      </c>
      <c r="E253" s="881"/>
      <c r="F253" s="881"/>
      <c r="G253" s="405" t="s">
        <v>300</v>
      </c>
      <c r="H253" s="800" t="s">
        <v>317</v>
      </c>
      <c r="I253" s="800"/>
      <c r="J253" s="405">
        <v>3</v>
      </c>
      <c r="K253" s="405">
        <v>12</v>
      </c>
      <c r="L253" s="892" t="s">
        <v>270</v>
      </c>
      <c r="M253" s="892"/>
      <c r="N253" s="892" t="s">
        <v>271</v>
      </c>
      <c r="O253" s="892"/>
      <c r="P253" s="446">
        <v>54</v>
      </c>
      <c r="Q253" s="447">
        <v>2.1399999999999999E-2</v>
      </c>
      <c r="R253" s="461">
        <v>1</v>
      </c>
      <c r="S253" s="652"/>
      <c r="T253" s="652"/>
    </row>
    <row r="254" spans="1:20" ht="27.75" customHeight="1" thickBot="1" x14ac:dyDescent="0.25">
      <c r="A254" s="651"/>
      <c r="B254" s="876">
        <v>37204205</v>
      </c>
      <c r="C254" s="877"/>
      <c r="D254" s="880" t="s">
        <v>406</v>
      </c>
      <c r="E254" s="880"/>
      <c r="F254" s="880"/>
      <c r="G254" s="418" t="s">
        <v>300</v>
      </c>
      <c r="H254" s="798" t="s">
        <v>317</v>
      </c>
      <c r="I254" s="798"/>
      <c r="J254" s="418">
        <v>3</v>
      </c>
      <c r="K254" s="418">
        <v>31</v>
      </c>
      <c r="L254" s="890" t="s">
        <v>375</v>
      </c>
      <c r="M254" s="890"/>
      <c r="N254" s="890" t="s">
        <v>271</v>
      </c>
      <c r="O254" s="890"/>
      <c r="P254" s="457">
        <v>63</v>
      </c>
      <c r="Q254" s="458">
        <v>2.4899999999999999E-2</v>
      </c>
      <c r="R254" s="462">
        <v>1</v>
      </c>
      <c r="S254" s="652"/>
      <c r="T254" s="652"/>
    </row>
    <row r="255" spans="1:20" ht="23.25" customHeight="1" x14ac:dyDescent="0.2">
      <c r="A255" s="651"/>
      <c r="B255" s="893">
        <v>37204209</v>
      </c>
      <c r="C255" s="888"/>
      <c r="D255" s="894" t="s">
        <v>407</v>
      </c>
      <c r="E255" s="894"/>
      <c r="F255" s="894"/>
      <c r="G255" s="888" t="s">
        <v>300</v>
      </c>
      <c r="H255" s="843" t="s">
        <v>317</v>
      </c>
      <c r="I255" s="843"/>
      <c r="J255" s="888">
        <v>3</v>
      </c>
      <c r="K255" s="888">
        <v>28</v>
      </c>
      <c r="L255" s="905" t="s">
        <v>344</v>
      </c>
      <c r="M255" s="905"/>
      <c r="N255" s="905" t="s">
        <v>345</v>
      </c>
      <c r="O255" s="905"/>
      <c r="P255" s="452">
        <v>58.5</v>
      </c>
      <c r="Q255" s="453">
        <v>2.3099999999999999E-2</v>
      </c>
      <c r="R255" s="895">
        <v>1</v>
      </c>
      <c r="S255" s="652"/>
      <c r="T255" s="652"/>
    </row>
    <row r="256" spans="1:20" ht="21" customHeight="1" thickBot="1" x14ac:dyDescent="0.25">
      <c r="A256" s="651"/>
      <c r="B256" s="876"/>
      <c r="C256" s="877"/>
      <c r="D256" s="880"/>
      <c r="E256" s="880"/>
      <c r="F256" s="880"/>
      <c r="G256" s="877"/>
      <c r="H256" s="798"/>
      <c r="I256" s="798"/>
      <c r="J256" s="877"/>
      <c r="K256" s="877"/>
      <c r="L256" s="890" t="s">
        <v>373</v>
      </c>
      <c r="M256" s="890"/>
      <c r="N256" s="890" t="s">
        <v>280</v>
      </c>
      <c r="O256" s="890"/>
      <c r="P256" s="457">
        <v>216</v>
      </c>
      <c r="Q256" s="458">
        <v>8.5400000000000004E-2</v>
      </c>
      <c r="R256" s="896"/>
      <c r="S256" s="652"/>
      <c r="T256" s="652"/>
    </row>
    <row r="257" spans="1:20" ht="21" customHeight="1" x14ac:dyDescent="0.2">
      <c r="A257" s="651"/>
      <c r="B257" s="893">
        <v>37204206</v>
      </c>
      <c r="C257" s="888"/>
      <c r="D257" s="894" t="s">
        <v>408</v>
      </c>
      <c r="E257" s="894"/>
      <c r="F257" s="894"/>
      <c r="G257" s="888" t="s">
        <v>300</v>
      </c>
      <c r="H257" s="843" t="s">
        <v>317</v>
      </c>
      <c r="I257" s="843"/>
      <c r="J257" s="888">
        <v>3</v>
      </c>
      <c r="K257" s="888">
        <v>14</v>
      </c>
      <c r="L257" s="902" t="s">
        <v>981</v>
      </c>
      <c r="M257" s="902"/>
      <c r="N257" s="902" t="s">
        <v>275</v>
      </c>
      <c r="O257" s="902"/>
      <c r="P257" s="448">
        <v>126</v>
      </c>
      <c r="Q257" s="449">
        <v>4.9799999999999997E-2</v>
      </c>
      <c r="R257" s="895">
        <v>1</v>
      </c>
      <c r="S257" s="652"/>
      <c r="T257" s="652"/>
    </row>
    <row r="258" spans="1:20" ht="21" customHeight="1" thickBot="1" x14ac:dyDescent="0.25">
      <c r="A258" s="651"/>
      <c r="B258" s="878"/>
      <c r="C258" s="879"/>
      <c r="D258" s="881"/>
      <c r="E258" s="881"/>
      <c r="F258" s="881"/>
      <c r="G258" s="879"/>
      <c r="H258" s="800"/>
      <c r="I258" s="800"/>
      <c r="J258" s="879"/>
      <c r="K258" s="879"/>
      <c r="L258" s="903" t="s">
        <v>984</v>
      </c>
      <c r="M258" s="903"/>
      <c r="N258" s="903" t="s">
        <v>295</v>
      </c>
      <c r="O258" s="903"/>
      <c r="P258" s="454">
        <v>9</v>
      </c>
      <c r="Q258" s="455">
        <v>3.5999999999999999E-3</v>
      </c>
      <c r="R258" s="897"/>
      <c r="S258" s="652"/>
      <c r="T258" s="652"/>
    </row>
    <row r="259" spans="1:20" ht="21" customHeight="1" thickBot="1" x14ac:dyDescent="0.25">
      <c r="A259" s="651"/>
      <c r="B259" s="878">
        <v>37204226</v>
      </c>
      <c r="C259" s="879"/>
      <c r="D259" s="881" t="s">
        <v>920</v>
      </c>
      <c r="E259" s="881"/>
      <c r="F259" s="881"/>
      <c r="G259" s="405" t="s">
        <v>300</v>
      </c>
      <c r="H259" s="800" t="s">
        <v>317</v>
      </c>
      <c r="I259" s="800"/>
      <c r="J259" s="405">
        <v>3</v>
      </c>
      <c r="K259" s="405">
        <v>27</v>
      </c>
      <c r="L259" s="892" t="s">
        <v>356</v>
      </c>
      <c r="M259" s="892"/>
      <c r="N259" s="892" t="s">
        <v>345</v>
      </c>
      <c r="O259" s="892"/>
      <c r="P259" s="457">
        <v>117</v>
      </c>
      <c r="Q259" s="458">
        <v>4.6300000000000001E-2</v>
      </c>
      <c r="R259" s="461">
        <v>1</v>
      </c>
      <c r="S259" s="652"/>
      <c r="T259" s="652"/>
    </row>
    <row r="260" spans="1:20" ht="21" customHeight="1" thickBot="1" x14ac:dyDescent="0.25">
      <c r="A260" s="651"/>
      <c r="B260" s="980">
        <v>37204225</v>
      </c>
      <c r="C260" s="981"/>
      <c r="D260" s="904" t="s">
        <v>303</v>
      </c>
      <c r="E260" s="904"/>
      <c r="F260" s="904"/>
      <c r="G260" s="487" t="s">
        <v>300</v>
      </c>
      <c r="H260" s="911" t="s">
        <v>317</v>
      </c>
      <c r="I260" s="911"/>
      <c r="J260" s="487">
        <v>3</v>
      </c>
      <c r="K260" s="487">
        <v>31</v>
      </c>
      <c r="L260" s="901" t="s">
        <v>352</v>
      </c>
      <c r="M260" s="901"/>
      <c r="N260" s="914" t="s">
        <v>266</v>
      </c>
      <c r="O260" s="914"/>
      <c r="P260" s="488">
        <v>180</v>
      </c>
      <c r="Q260" s="489">
        <v>7.1199999999999999E-2</v>
      </c>
      <c r="R260" s="490">
        <v>1</v>
      </c>
      <c r="S260" s="652"/>
      <c r="T260" s="652"/>
    </row>
    <row r="261" spans="1:20" x14ac:dyDescent="0.2">
      <c r="B261" s="925" t="s">
        <v>1483</v>
      </c>
      <c r="C261" s="925"/>
      <c r="S261" s="652"/>
      <c r="T261" s="652"/>
    </row>
    <row r="262" spans="1:20" x14ac:dyDescent="0.2">
      <c r="B262" s="899" t="s">
        <v>904</v>
      </c>
      <c r="C262" s="899"/>
      <c r="D262" s="899"/>
      <c r="E262" s="899"/>
      <c r="F262" s="899"/>
      <c r="G262" s="899"/>
      <c r="H262" s="899"/>
      <c r="I262" s="49"/>
    </row>
    <row r="263" spans="1:20" x14ac:dyDescent="0.2">
      <c r="B263" s="44"/>
      <c r="C263" s="44"/>
      <c r="D263" s="44"/>
      <c r="E263" s="44"/>
      <c r="F263" s="44"/>
      <c r="G263" s="44"/>
      <c r="H263" s="44"/>
      <c r="J263" s="651"/>
      <c r="K263" s="651"/>
      <c r="L263" s="651"/>
      <c r="M263" s="651"/>
      <c r="N263" s="651"/>
      <c r="O263" s="651"/>
      <c r="P263" s="651"/>
      <c r="Q263" s="651"/>
      <c r="R263" s="651"/>
    </row>
    <row r="264" spans="1:20" x14ac:dyDescent="0.2">
      <c r="B264" s="40"/>
      <c r="C264" s="40"/>
      <c r="D264" s="40"/>
      <c r="E264" s="40"/>
      <c r="F264" s="40"/>
      <c r="G264" s="40"/>
      <c r="H264" s="40"/>
      <c r="J264" s="651"/>
      <c r="K264" s="651"/>
      <c r="L264" s="651"/>
      <c r="M264" s="651"/>
      <c r="N264" s="651"/>
      <c r="O264" s="651"/>
      <c r="P264" s="651"/>
      <c r="Q264" s="651"/>
      <c r="R264" s="651"/>
    </row>
    <row r="265" spans="1:20" x14ac:dyDescent="0.2">
      <c r="B265" s="900" t="s">
        <v>825</v>
      </c>
      <c r="C265" s="900"/>
      <c r="D265" s="900"/>
      <c r="E265" s="900"/>
      <c r="F265" s="900"/>
      <c r="G265" s="70"/>
      <c r="H265" s="40"/>
      <c r="I265" s="466"/>
      <c r="J265" s="651"/>
      <c r="K265" s="652" t="s">
        <v>1028</v>
      </c>
      <c r="L265" s="653" t="s">
        <v>1029</v>
      </c>
      <c r="M265" s="651"/>
      <c r="N265" s="651"/>
      <c r="O265" s="651"/>
      <c r="P265" s="651"/>
      <c r="Q265" s="651"/>
      <c r="R265" s="651"/>
    </row>
    <row r="266" spans="1:20" ht="36" x14ac:dyDescent="0.2">
      <c r="B266" s="752" t="s">
        <v>2</v>
      </c>
      <c r="C266" s="752"/>
      <c r="D266" s="208" t="s">
        <v>251</v>
      </c>
      <c r="E266" s="208" t="s">
        <v>805</v>
      </c>
      <c r="F266" s="752" t="s">
        <v>806</v>
      </c>
      <c r="G266" s="752"/>
      <c r="H266" s="741" t="s">
        <v>807</v>
      </c>
      <c r="I266" s="741"/>
      <c r="J266" s="651"/>
      <c r="K266" s="652">
        <f>S165</f>
        <v>0</v>
      </c>
      <c r="L266" s="652">
        <f>T165</f>
        <v>0</v>
      </c>
      <c r="M266" s="651"/>
      <c r="N266" s="651"/>
      <c r="O266" s="651"/>
      <c r="P266" s="651"/>
      <c r="Q266" s="651"/>
      <c r="R266" s="651"/>
    </row>
    <row r="267" spans="1:20" ht="15.75" customHeight="1" thickBot="1" x14ac:dyDescent="0.25">
      <c r="B267" s="908" t="s">
        <v>7</v>
      </c>
      <c r="C267" s="908"/>
      <c r="D267" s="173" t="s">
        <v>544</v>
      </c>
      <c r="E267" s="596">
        <f>252/24</f>
        <v>10.5</v>
      </c>
      <c r="F267" s="912">
        <f>5010/60</f>
        <v>83.5</v>
      </c>
      <c r="G267" s="912"/>
      <c r="H267" s="912">
        <f>83.5/(252/24)</f>
        <v>7.9523809523809526</v>
      </c>
      <c r="I267" s="912"/>
      <c r="J267" s="651"/>
      <c r="K267" s="652"/>
      <c r="L267" s="653"/>
      <c r="M267" s="651"/>
      <c r="N267" s="651"/>
      <c r="O267" s="651">
        <v>144</v>
      </c>
      <c r="P267" s="654">
        <v>5.6737588652482303E-2</v>
      </c>
      <c r="Q267" s="651"/>
      <c r="R267" s="651"/>
    </row>
    <row r="268" spans="1:20" ht="16" thickBot="1" x14ac:dyDescent="0.25">
      <c r="B268" s="909"/>
      <c r="C268" s="909"/>
      <c r="D268" s="443" t="s">
        <v>664</v>
      </c>
      <c r="E268" s="444">
        <v>10.25</v>
      </c>
      <c r="F268" s="913">
        <v>110.5</v>
      </c>
      <c r="G268" s="913"/>
      <c r="H268" s="913">
        <v>10.78</v>
      </c>
      <c r="I268" s="913"/>
      <c r="J268" s="651"/>
      <c r="K268" s="652"/>
      <c r="L268" s="653"/>
      <c r="M268" s="651"/>
      <c r="N268" s="651"/>
      <c r="O268" s="651"/>
      <c r="P268" s="651"/>
      <c r="Q268" s="651"/>
      <c r="R268" s="651"/>
    </row>
    <row r="269" spans="1:20" ht="16" thickBot="1" x14ac:dyDescent="0.25">
      <c r="B269" s="909"/>
      <c r="C269" s="909"/>
      <c r="D269" s="443" t="s">
        <v>917</v>
      </c>
      <c r="E269" s="444">
        <v>10.25</v>
      </c>
      <c r="F269" s="913">
        <v>110.5</v>
      </c>
      <c r="G269" s="913"/>
      <c r="H269" s="913">
        <v>10.78</v>
      </c>
      <c r="I269" s="913"/>
      <c r="J269" s="651"/>
      <c r="K269" s="652"/>
      <c r="L269" s="653"/>
      <c r="M269" s="651"/>
      <c r="N269" s="651"/>
      <c r="O269" s="651"/>
      <c r="P269" s="651"/>
      <c r="Q269" s="651"/>
      <c r="R269" s="651"/>
    </row>
    <row r="270" spans="1:20" ht="16" thickBot="1" x14ac:dyDescent="0.25">
      <c r="B270" s="909"/>
      <c r="C270" s="909"/>
      <c r="D270" s="443" t="s">
        <v>987</v>
      </c>
      <c r="E270" s="444">
        <v>11.75</v>
      </c>
      <c r="F270" s="913">
        <v>149.69999999999999</v>
      </c>
      <c r="G270" s="913"/>
      <c r="H270" s="913">
        <v>12.74</v>
      </c>
      <c r="I270" s="913"/>
      <c r="J270" s="651"/>
      <c r="K270" s="652"/>
      <c r="L270" s="653"/>
      <c r="M270" s="651"/>
      <c r="N270" s="651"/>
      <c r="O270" s="651"/>
      <c r="P270" s="651"/>
      <c r="Q270" s="651"/>
      <c r="R270" s="651"/>
    </row>
    <row r="271" spans="1:20" ht="16" thickBot="1" x14ac:dyDescent="0.25">
      <c r="B271" s="910"/>
      <c r="C271" s="910"/>
      <c r="D271" s="28" t="s">
        <v>1171</v>
      </c>
      <c r="E271" s="187">
        <f>L266/24</f>
        <v>0</v>
      </c>
      <c r="F271" s="927">
        <f>K266/60</f>
        <v>0</v>
      </c>
      <c r="G271" s="927"/>
      <c r="H271" s="927" t="e">
        <f>F271/E271</f>
        <v>#DIV/0!</v>
      </c>
      <c r="I271" s="927"/>
      <c r="J271" s="651"/>
      <c r="K271" s="652"/>
      <c r="L271" s="653"/>
      <c r="M271" s="651"/>
      <c r="N271" s="651"/>
      <c r="O271" s="651"/>
      <c r="P271" s="651"/>
      <c r="Q271" s="651"/>
      <c r="R271" s="651"/>
    </row>
    <row r="272" spans="1:20" ht="16" thickBot="1" x14ac:dyDescent="0.25">
      <c r="B272" s="908" t="s">
        <v>8</v>
      </c>
      <c r="C272" s="908"/>
      <c r="D272" s="173" t="s">
        <v>544</v>
      </c>
      <c r="E272" s="596">
        <f>279/24</f>
        <v>11.625</v>
      </c>
      <c r="F272" s="928">
        <f>13717/60</f>
        <v>228.61666666666667</v>
      </c>
      <c r="G272" s="928"/>
      <c r="H272" s="928">
        <f>228.62/(279/24)</f>
        <v>19.666236559139787</v>
      </c>
      <c r="I272" s="928"/>
      <c r="J272" s="651"/>
      <c r="K272" s="652" t="s">
        <v>1028</v>
      </c>
      <c r="L272" s="653" t="s">
        <v>1029</v>
      </c>
      <c r="M272" s="651"/>
      <c r="N272" s="651"/>
      <c r="O272" s="651"/>
      <c r="P272" s="651"/>
      <c r="Q272" s="651"/>
      <c r="R272" s="651"/>
    </row>
    <row r="273" spans="2:29" ht="16" thickBot="1" x14ac:dyDescent="0.25">
      <c r="B273" s="909"/>
      <c r="C273" s="909"/>
      <c r="D273" s="443" t="s">
        <v>664</v>
      </c>
      <c r="E273" s="444">
        <f>276/24</f>
        <v>11.5</v>
      </c>
      <c r="F273" s="913">
        <v>226.37</v>
      </c>
      <c r="G273" s="913"/>
      <c r="H273" s="913">
        <f>226.37/(276/24)</f>
        <v>19.684347826086956</v>
      </c>
      <c r="I273" s="913"/>
      <c r="J273" s="651"/>
      <c r="K273" s="652">
        <f>S261</f>
        <v>0</v>
      </c>
      <c r="L273" s="652">
        <f>T261</f>
        <v>0</v>
      </c>
      <c r="M273" s="651"/>
      <c r="N273" s="651"/>
      <c r="O273" s="651"/>
      <c r="P273" s="651"/>
      <c r="Q273" s="651"/>
      <c r="R273" s="651"/>
    </row>
    <row r="274" spans="2:29" ht="16" thickBot="1" x14ac:dyDescent="0.25">
      <c r="B274" s="909"/>
      <c r="C274" s="909"/>
      <c r="D274" s="443" t="s">
        <v>917</v>
      </c>
      <c r="E274" s="444">
        <v>11.63</v>
      </c>
      <c r="F274" s="913">
        <v>229.1</v>
      </c>
      <c r="G274" s="913"/>
      <c r="H274" s="913">
        <v>19.71</v>
      </c>
      <c r="I274" s="913"/>
      <c r="J274" s="651"/>
      <c r="K274" s="651"/>
      <c r="L274" s="651"/>
      <c r="M274" s="651"/>
      <c r="N274" s="651"/>
      <c r="O274" s="651"/>
      <c r="P274" s="651"/>
      <c r="Q274" s="651"/>
      <c r="R274" s="651"/>
    </row>
    <row r="275" spans="2:29" ht="16" thickBot="1" x14ac:dyDescent="0.25">
      <c r="B275" s="909"/>
      <c r="C275" s="909"/>
      <c r="D275" s="443" t="s">
        <v>987</v>
      </c>
      <c r="E275" s="444">
        <v>12.21</v>
      </c>
      <c r="F275" s="913">
        <v>232.35</v>
      </c>
      <c r="G275" s="913"/>
      <c r="H275" s="913">
        <v>19.03</v>
      </c>
      <c r="I275" s="913"/>
      <c r="J275" s="651"/>
      <c r="K275" s="651"/>
      <c r="L275" s="651"/>
      <c r="M275" s="651"/>
      <c r="N275" s="651"/>
      <c r="O275" s="651"/>
      <c r="P275" s="651"/>
      <c r="Q275" s="651"/>
      <c r="R275" s="651"/>
    </row>
    <row r="276" spans="2:29" ht="16" thickBot="1" x14ac:dyDescent="0.25">
      <c r="B276" s="910"/>
      <c r="C276" s="910"/>
      <c r="D276" s="28" t="s">
        <v>1171</v>
      </c>
      <c r="E276" s="187">
        <f>L273/24</f>
        <v>0</v>
      </c>
      <c r="F276" s="927">
        <f>K273/60</f>
        <v>0</v>
      </c>
      <c r="G276" s="927"/>
      <c r="H276" s="927" t="e">
        <f>F276/E276</f>
        <v>#DIV/0!</v>
      </c>
      <c r="I276" s="927"/>
      <c r="J276" s="651"/>
      <c r="K276" s="651"/>
      <c r="L276" s="651"/>
      <c r="M276" s="651"/>
      <c r="N276" s="651"/>
      <c r="O276" s="651"/>
      <c r="P276" s="651"/>
      <c r="Q276" s="651"/>
      <c r="R276" s="651"/>
    </row>
    <row r="277" spans="2:29" x14ac:dyDescent="0.2">
      <c r="B277" s="925" t="s">
        <v>1483</v>
      </c>
      <c r="C277" s="925"/>
      <c r="R277" s="291"/>
      <c r="S277" s="656"/>
    </row>
    <row r="278" spans="2:29" x14ac:dyDescent="0.2">
      <c r="B278" s="45" t="s">
        <v>68</v>
      </c>
      <c r="C278" s="45"/>
      <c r="D278" s="45"/>
    </row>
    <row r="279" spans="2:29" ht="17.25" customHeight="1" x14ac:dyDescent="0.2">
      <c r="B279" s="39"/>
      <c r="H279" s="40"/>
    </row>
    <row r="280" spans="2:29" x14ac:dyDescent="0.2">
      <c r="B280" s="37"/>
      <c r="H280" s="40"/>
    </row>
    <row r="281" spans="2:29" x14ac:dyDescent="0.2">
      <c r="B281" s="5" t="s">
        <v>1173</v>
      </c>
      <c r="E281" s="49"/>
      <c r="F281" s="49"/>
      <c r="G281" s="49"/>
      <c r="H281" s="40"/>
      <c r="I281" s="43"/>
      <c r="M281" s="49"/>
    </row>
    <row r="282" spans="2:29" ht="15" customHeight="1" x14ac:dyDescent="0.2">
      <c r="B282" s="741" t="s">
        <v>1023</v>
      </c>
      <c r="C282" s="741"/>
      <c r="D282" s="741"/>
      <c r="E282" s="741" t="s">
        <v>7</v>
      </c>
      <c r="F282" s="741"/>
      <c r="G282" s="741"/>
      <c r="H282" s="741"/>
      <c r="I282" s="741" t="s">
        <v>8</v>
      </c>
      <c r="J282" s="741"/>
      <c r="K282" s="741"/>
      <c r="L282" s="741"/>
      <c r="M282" s="741" t="s">
        <v>1026</v>
      </c>
      <c r="N282" s="741"/>
      <c r="O282" s="741"/>
      <c r="P282" s="741"/>
      <c r="R282" s="992"/>
      <c r="S282" s="989"/>
    </row>
    <row r="283" spans="2:29" x14ac:dyDescent="0.2">
      <c r="B283" s="741"/>
      <c r="C283" s="741"/>
      <c r="D283" s="741"/>
      <c r="E283" s="207" t="s">
        <v>849</v>
      </c>
      <c r="F283" s="207" t="s">
        <v>850</v>
      </c>
      <c r="G283" s="207" t="s">
        <v>1008</v>
      </c>
      <c r="H283" s="438" t="s">
        <v>1016</v>
      </c>
      <c r="I283" s="207" t="s">
        <v>849</v>
      </c>
      <c r="J283" s="207" t="s">
        <v>850</v>
      </c>
      <c r="K283" s="207" t="s">
        <v>1008</v>
      </c>
      <c r="L283" s="438" t="s">
        <v>1016</v>
      </c>
      <c r="M283" s="207" t="s">
        <v>849</v>
      </c>
      <c r="N283" s="207" t="s">
        <v>850</v>
      </c>
      <c r="O283" s="207" t="s">
        <v>1008</v>
      </c>
      <c r="P283" s="207" t="s">
        <v>1016</v>
      </c>
      <c r="R283" s="992"/>
      <c r="S283" s="989"/>
      <c r="U283" s="212"/>
      <c r="V283" s="212"/>
      <c r="W283" s="212"/>
      <c r="X283" s="213"/>
      <c r="Z283" s="530"/>
      <c r="AA283" s="530"/>
      <c r="AB283" s="530"/>
      <c r="AC283" s="530"/>
    </row>
    <row r="284" spans="2:29" ht="27" customHeight="1" thickBot="1" x14ac:dyDescent="0.25">
      <c r="B284" s="979" t="s">
        <v>1024</v>
      </c>
      <c r="C284" s="979"/>
      <c r="D284" s="979"/>
      <c r="E284" s="437" t="s">
        <v>1252</v>
      </c>
      <c r="F284" s="437" t="s">
        <v>1253</v>
      </c>
      <c r="G284" s="437" t="s">
        <v>460</v>
      </c>
      <c r="H284" s="520" t="s">
        <v>1254</v>
      </c>
      <c r="I284" s="437" t="s">
        <v>1255</v>
      </c>
      <c r="J284" s="437" t="s">
        <v>1256</v>
      </c>
      <c r="K284" s="437" t="s">
        <v>1051</v>
      </c>
      <c r="L284" s="520" t="s">
        <v>1257</v>
      </c>
      <c r="M284" s="437" t="s">
        <v>460</v>
      </c>
      <c r="N284" s="437" t="s">
        <v>1258</v>
      </c>
      <c r="O284" s="437" t="s">
        <v>52</v>
      </c>
      <c r="P284" s="521" t="s">
        <v>1259</v>
      </c>
      <c r="R284" s="212"/>
      <c r="S284" s="653"/>
      <c r="U284" s="658"/>
      <c r="V284" s="658"/>
      <c r="W284" s="658"/>
      <c r="X284" s="659"/>
      <c r="Z284" s="530"/>
      <c r="AA284" s="530"/>
      <c r="AB284" s="530"/>
      <c r="AC284" s="530"/>
    </row>
    <row r="285" spans="2:29" ht="21" customHeight="1" thickBot="1" x14ac:dyDescent="0.25">
      <c r="B285" s="979" t="s">
        <v>321</v>
      </c>
      <c r="C285" s="979"/>
      <c r="D285" s="979"/>
      <c r="E285" s="522">
        <v>7.9662921348314608</v>
      </c>
      <c r="F285" s="522">
        <v>8.1462264150943398</v>
      </c>
      <c r="G285" s="217">
        <v>6.6</v>
      </c>
      <c r="H285" s="523">
        <v>8.0686274509803919</v>
      </c>
      <c r="I285" s="522">
        <v>8.4846416382252556</v>
      </c>
      <c r="J285" s="522">
        <v>8.4929577464788739</v>
      </c>
      <c r="K285" s="522">
        <v>7</v>
      </c>
      <c r="L285" s="523">
        <v>8.4784853700516347</v>
      </c>
      <c r="M285" s="522">
        <v>8.5416666666666679</v>
      </c>
      <c r="N285" s="522">
        <v>8.369696969696971</v>
      </c>
      <c r="O285" s="522" t="s">
        <v>52</v>
      </c>
      <c r="P285" s="524">
        <v>8.4102167182662555</v>
      </c>
      <c r="R285" s="659"/>
      <c r="S285" s="660"/>
      <c r="U285" s="658"/>
      <c r="V285" s="658"/>
      <c r="W285" s="658"/>
      <c r="X285" s="659"/>
      <c r="Z285" s="530"/>
      <c r="AA285" s="530"/>
      <c r="AB285" s="530"/>
      <c r="AC285" s="530"/>
    </row>
    <row r="286" spans="2:29" ht="26.25" customHeight="1" thickBot="1" x14ac:dyDescent="0.25">
      <c r="B286" s="983" t="s">
        <v>322</v>
      </c>
      <c r="C286" s="983"/>
      <c r="D286" s="983"/>
      <c r="E286" s="522">
        <v>8.4719101123595504</v>
      </c>
      <c r="F286" s="522">
        <v>8.8018867924528301</v>
      </c>
      <c r="G286" s="522">
        <v>8</v>
      </c>
      <c r="H286" s="523">
        <v>8.6928104575163392</v>
      </c>
      <c r="I286" s="525">
        <v>8.6177474402730372</v>
      </c>
      <c r="J286" s="525">
        <v>8.7676056338028161</v>
      </c>
      <c r="K286" s="522">
        <v>7</v>
      </c>
      <c r="L286" s="523">
        <v>8.6798623063683298</v>
      </c>
      <c r="M286" s="525">
        <v>8.7708333333333321</v>
      </c>
      <c r="N286" s="525">
        <v>8.7045454545454533</v>
      </c>
      <c r="O286" s="522" t="s">
        <v>52</v>
      </c>
      <c r="P286" s="524">
        <v>8.7546439628482968</v>
      </c>
      <c r="R286" s="659"/>
      <c r="S286" s="660"/>
      <c r="U286" s="658"/>
      <c r="V286" s="658"/>
      <c r="W286" s="658"/>
      <c r="X286" s="659"/>
      <c r="Z286" s="530"/>
      <c r="AA286" s="530"/>
      <c r="AB286" s="530"/>
      <c r="AC286" s="530"/>
    </row>
    <row r="287" spans="2:29" ht="24.75" customHeight="1" thickBot="1" x14ac:dyDescent="0.25">
      <c r="B287" s="982" t="s">
        <v>1025</v>
      </c>
      <c r="C287" s="982"/>
      <c r="D287" s="982"/>
      <c r="E287" s="526">
        <v>7.9325842696629216</v>
      </c>
      <c r="F287" s="526">
        <v>8.0990566037735849</v>
      </c>
      <c r="G287" s="526">
        <v>7</v>
      </c>
      <c r="H287" s="527">
        <v>8.0326797385620914</v>
      </c>
      <c r="I287" s="528">
        <v>8.549488054607508</v>
      </c>
      <c r="J287" s="526">
        <v>8.5070422535211261</v>
      </c>
      <c r="K287" s="529">
        <v>6.75</v>
      </c>
      <c r="L287" s="527">
        <v>8.5163511187607579</v>
      </c>
      <c r="M287" s="528">
        <v>8.8958333333333321</v>
      </c>
      <c r="N287" s="526">
        <v>8.3893939393939387</v>
      </c>
      <c r="O287" s="526" t="s">
        <v>52</v>
      </c>
      <c r="P287" s="527">
        <v>8.5580495356037147</v>
      </c>
      <c r="R287" s="659"/>
      <c r="S287" s="660"/>
      <c r="Z287" s="530"/>
      <c r="AA287" s="530"/>
      <c r="AB287" s="530"/>
      <c r="AC287" s="530"/>
    </row>
    <row r="288" spans="2:29" x14ac:dyDescent="0.2">
      <c r="B288" s="925" t="s">
        <v>1483</v>
      </c>
      <c r="C288" s="925"/>
      <c r="R288" s="291"/>
      <c r="S288" s="656"/>
      <c r="U288" s="658"/>
      <c r="V288" s="658"/>
      <c r="X288" s="659"/>
      <c r="Z288" s="530"/>
      <c r="AA288" s="530"/>
      <c r="AB288" s="530"/>
      <c r="AC288" s="530"/>
    </row>
    <row r="289" spans="2:29" x14ac:dyDescent="0.2">
      <c r="B289" s="45" t="s">
        <v>68</v>
      </c>
      <c r="C289" s="45"/>
      <c r="D289" s="45"/>
      <c r="Z289" s="530"/>
      <c r="AA289" s="530"/>
      <c r="AB289" s="530"/>
      <c r="AC289" s="530"/>
    </row>
    <row r="290" spans="2:29" x14ac:dyDescent="0.2">
      <c r="B290" s="45"/>
      <c r="C290" s="45"/>
      <c r="D290" s="45"/>
      <c r="Z290" s="530"/>
      <c r="AA290" s="530"/>
      <c r="AB290" s="530"/>
      <c r="AC290" s="530"/>
    </row>
    <row r="291" spans="2:29" x14ac:dyDescent="0.2">
      <c r="Z291" s="530"/>
      <c r="AA291" s="530"/>
      <c r="AB291" s="530"/>
      <c r="AC291" s="530"/>
    </row>
    <row r="292" spans="2:29" x14ac:dyDescent="0.2">
      <c r="B292" s="5" t="s">
        <v>826</v>
      </c>
      <c r="C292" s="5"/>
      <c r="D292" s="5"/>
      <c r="E292" s="5"/>
      <c r="F292" s="5"/>
      <c r="G292" s="5"/>
    </row>
    <row r="293" spans="2:29" x14ac:dyDescent="0.2">
      <c r="B293" s="740" t="s">
        <v>2</v>
      </c>
      <c r="C293" s="740"/>
      <c r="D293" s="740" t="s">
        <v>324</v>
      </c>
      <c r="E293" s="740"/>
      <c r="F293" s="207" t="s">
        <v>5</v>
      </c>
      <c r="G293" s="207" t="s">
        <v>6</v>
      </c>
      <c r="H293" s="207" t="s">
        <v>912</v>
      </c>
      <c r="I293" s="207" t="s">
        <v>985</v>
      </c>
      <c r="J293" s="207" t="s">
        <v>1169</v>
      </c>
    </row>
    <row r="294" spans="2:29" ht="15" customHeight="1" x14ac:dyDescent="0.2">
      <c r="B294" s="741"/>
      <c r="C294" s="741"/>
      <c r="D294" s="741"/>
      <c r="E294" s="741"/>
      <c r="F294" s="976" t="s">
        <v>1174</v>
      </c>
      <c r="G294" s="976"/>
      <c r="H294" s="977"/>
      <c r="I294" s="978" t="s">
        <v>1027</v>
      </c>
      <c r="J294" s="976"/>
    </row>
    <row r="295" spans="2:29" ht="21" customHeight="1" thickBot="1" x14ac:dyDescent="0.25">
      <c r="B295" s="993" t="s">
        <v>7</v>
      </c>
      <c r="C295" s="993"/>
      <c r="D295" s="994" t="s">
        <v>323</v>
      </c>
      <c r="E295" s="994"/>
      <c r="F295" s="440">
        <v>5.51</v>
      </c>
      <c r="G295" s="440">
        <v>5.27</v>
      </c>
      <c r="H295" s="437">
        <v>5.54</v>
      </c>
      <c r="I295" s="437">
        <v>7.8</v>
      </c>
      <c r="J295" s="584">
        <v>8</v>
      </c>
      <c r="L295" s="212"/>
    </row>
    <row r="296" spans="2:29" ht="21" customHeight="1" thickBot="1" x14ac:dyDescent="0.25">
      <c r="B296" s="439" t="s">
        <v>8</v>
      </c>
      <c r="C296" s="439"/>
      <c r="D296" s="995"/>
      <c r="E296" s="995"/>
      <c r="F296" s="435">
        <v>5.84</v>
      </c>
      <c r="G296" s="435">
        <v>5.78</v>
      </c>
      <c r="H296" s="217">
        <v>5.96</v>
      </c>
      <c r="I296" s="217">
        <v>8.6</v>
      </c>
      <c r="J296" s="585">
        <v>8.5</v>
      </c>
      <c r="L296" s="212"/>
    </row>
    <row r="297" spans="2:29" ht="16" thickBot="1" x14ac:dyDescent="0.25">
      <c r="B297" s="910" t="s">
        <v>9</v>
      </c>
      <c r="C297" s="910"/>
      <c r="D297" s="996"/>
      <c r="E297" s="996"/>
      <c r="F297" s="441" t="s">
        <v>52</v>
      </c>
      <c r="G297" s="441" t="s">
        <v>52</v>
      </c>
      <c r="H297" s="442" t="s">
        <v>52</v>
      </c>
      <c r="I297" s="442">
        <v>8.8000000000000007</v>
      </c>
      <c r="J297" s="586">
        <v>8.6</v>
      </c>
      <c r="L297" s="212"/>
    </row>
    <row r="298" spans="2:29" x14ac:dyDescent="0.2">
      <c r="B298" s="925" t="s">
        <v>1483</v>
      </c>
      <c r="C298" s="925"/>
    </row>
    <row r="299" spans="2:29" x14ac:dyDescent="0.2">
      <c r="B299" s="45" t="s">
        <v>68</v>
      </c>
    </row>
    <row r="300" spans="2:29" x14ac:dyDescent="0.2">
      <c r="B300" s="45"/>
      <c r="C300" s="45"/>
      <c r="D300" s="45"/>
      <c r="E300" s="45"/>
      <c r="F300" s="45"/>
    </row>
    <row r="301" spans="2:29" x14ac:dyDescent="0.2">
      <c r="B301" s="45"/>
      <c r="C301" s="45"/>
      <c r="D301" s="45"/>
      <c r="E301" s="45"/>
      <c r="F301" s="45"/>
    </row>
    <row r="302" spans="2:29" x14ac:dyDescent="0.2">
      <c r="B302" s="166" t="s">
        <v>325</v>
      </c>
      <c r="C302" s="45"/>
      <c r="D302" s="45"/>
      <c r="E302" s="45"/>
      <c r="F302" s="45"/>
    </row>
    <row r="303" spans="2:29" x14ac:dyDescent="0.2">
      <c r="B303" s="46"/>
      <c r="C303" s="45"/>
      <c r="D303" s="45"/>
      <c r="E303" s="45"/>
      <c r="F303" s="45"/>
    </row>
    <row r="304" spans="2:29" x14ac:dyDescent="0.2">
      <c r="B304" s="5" t="s">
        <v>855</v>
      </c>
      <c r="H304" s="49"/>
      <c r="I304" s="49"/>
      <c r="J304" s="49"/>
      <c r="S304"/>
      <c r="T304"/>
    </row>
    <row r="305" spans="2:20" ht="15" customHeight="1" x14ac:dyDescent="0.2">
      <c r="B305" s="740" t="s">
        <v>326</v>
      </c>
      <c r="C305" s="740" t="s">
        <v>327</v>
      </c>
      <c r="D305" s="740"/>
      <c r="E305" s="740"/>
      <c r="F305" s="740" t="s">
        <v>328</v>
      </c>
      <c r="G305" s="740" t="s">
        <v>329</v>
      </c>
      <c r="H305" s="740" t="s">
        <v>330</v>
      </c>
      <c r="I305" s="740" t="s">
        <v>905</v>
      </c>
      <c r="J305" s="740"/>
      <c r="S305"/>
      <c r="T305"/>
    </row>
    <row r="306" spans="2:20" ht="15" customHeight="1" x14ac:dyDescent="0.2">
      <c r="B306" s="741"/>
      <c r="C306" s="741"/>
      <c r="D306" s="741"/>
      <c r="E306" s="741"/>
      <c r="F306" s="741"/>
      <c r="G306" s="741"/>
      <c r="H306" s="741"/>
      <c r="I306" s="741"/>
      <c r="J306" s="741"/>
      <c r="S306"/>
      <c r="T306"/>
    </row>
    <row r="307" spans="2:20" ht="26.25" customHeight="1" thickBot="1" x14ac:dyDescent="0.25">
      <c r="B307" s="437" t="s">
        <v>52</v>
      </c>
      <c r="C307" s="437" t="s">
        <v>52</v>
      </c>
      <c r="D307" s="437" t="s">
        <v>52</v>
      </c>
      <c r="E307" s="437" t="s">
        <v>52</v>
      </c>
      <c r="F307" s="437" t="s">
        <v>52</v>
      </c>
      <c r="G307" s="437" t="s">
        <v>52</v>
      </c>
      <c r="H307" s="437" t="s">
        <v>52</v>
      </c>
      <c r="I307" s="437" t="s">
        <v>52</v>
      </c>
      <c r="J307" s="437" t="s">
        <v>52</v>
      </c>
      <c r="K307" s="49"/>
      <c r="S307"/>
      <c r="T307"/>
    </row>
    <row r="308" spans="2:20" ht="29.25" customHeight="1" thickBot="1" x14ac:dyDescent="0.25">
      <c r="B308" s="217" t="s">
        <v>52</v>
      </c>
      <c r="C308" s="437" t="s">
        <v>52</v>
      </c>
      <c r="D308" s="437" t="s">
        <v>52</v>
      </c>
      <c r="E308" s="437" t="s">
        <v>52</v>
      </c>
      <c r="F308" s="437" t="s">
        <v>52</v>
      </c>
      <c r="G308" s="437" t="s">
        <v>52</v>
      </c>
      <c r="H308" s="437" t="s">
        <v>52</v>
      </c>
      <c r="I308" s="437" t="s">
        <v>52</v>
      </c>
      <c r="J308" s="437" t="s">
        <v>52</v>
      </c>
      <c r="S308"/>
      <c r="T308"/>
    </row>
    <row r="309" spans="2:20" ht="29.25" customHeight="1" thickBot="1" x14ac:dyDescent="0.25">
      <c r="B309" s="217" t="s">
        <v>52</v>
      </c>
      <c r="C309" s="437" t="s">
        <v>52</v>
      </c>
      <c r="D309" s="437" t="s">
        <v>52</v>
      </c>
      <c r="E309" s="437" t="s">
        <v>52</v>
      </c>
      <c r="F309" s="437" t="s">
        <v>52</v>
      </c>
      <c r="G309" s="437" t="s">
        <v>52</v>
      </c>
      <c r="H309" s="437" t="s">
        <v>52</v>
      </c>
      <c r="I309" s="437" t="s">
        <v>52</v>
      </c>
      <c r="J309" s="437" t="s">
        <v>52</v>
      </c>
      <c r="S309"/>
      <c r="T309"/>
    </row>
    <row r="310" spans="2:20" x14ac:dyDescent="0.2">
      <c r="B310" s="925" t="s">
        <v>1483</v>
      </c>
      <c r="C310" s="925"/>
      <c r="D310" s="47"/>
      <c r="E310" s="48"/>
      <c r="F310" s="48"/>
      <c r="G310" s="48"/>
      <c r="H310" s="661"/>
      <c r="S310"/>
      <c r="T310"/>
    </row>
    <row r="311" spans="2:20" x14ac:dyDescent="0.2">
      <c r="B311" s="45" t="s">
        <v>68</v>
      </c>
      <c r="S311"/>
      <c r="T311"/>
    </row>
    <row r="312" spans="2:20" x14ac:dyDescent="0.2">
      <c r="B312" s="45"/>
      <c r="S312"/>
      <c r="T312"/>
    </row>
    <row r="313" spans="2:20" x14ac:dyDescent="0.2">
      <c r="H313" s="5"/>
      <c r="S313"/>
      <c r="T313"/>
    </row>
    <row r="314" spans="2:20" x14ac:dyDescent="0.2">
      <c r="B314" s="644" t="s">
        <v>827</v>
      </c>
      <c r="C314" s="644"/>
      <c r="D314" s="644"/>
      <c r="E314" s="644"/>
      <c r="F314" s="644"/>
      <c r="G314" s="644"/>
      <c r="H314" s="49"/>
      <c r="S314"/>
      <c r="T314"/>
    </row>
    <row r="315" spans="2:20" ht="15" customHeight="1" x14ac:dyDescent="0.2">
      <c r="B315" s="207" t="s">
        <v>331</v>
      </c>
      <c r="C315" s="740" t="s">
        <v>332</v>
      </c>
      <c r="D315" s="740"/>
      <c r="E315" s="207" t="s">
        <v>333</v>
      </c>
      <c r="F315" s="207" t="s">
        <v>334</v>
      </c>
      <c r="G315" s="740" t="s">
        <v>335</v>
      </c>
      <c r="H315" s="740"/>
      <c r="I315" s="740" t="s">
        <v>336</v>
      </c>
      <c r="J315" s="740"/>
      <c r="S315"/>
      <c r="T315"/>
    </row>
    <row r="316" spans="2:20" ht="16" thickBot="1" x14ac:dyDescent="0.25">
      <c r="B316" s="437" t="s">
        <v>52</v>
      </c>
      <c r="C316" s="437" t="s">
        <v>52</v>
      </c>
      <c r="D316" s="437" t="s">
        <v>52</v>
      </c>
      <c r="E316" s="437" t="s">
        <v>52</v>
      </c>
      <c r="F316" s="437" t="s">
        <v>52</v>
      </c>
      <c r="G316" s="437" t="s">
        <v>52</v>
      </c>
      <c r="H316" s="437" t="s">
        <v>52</v>
      </c>
      <c r="I316" s="437" t="s">
        <v>52</v>
      </c>
      <c r="J316" s="437" t="s">
        <v>52</v>
      </c>
      <c r="S316"/>
      <c r="T316"/>
    </row>
    <row r="317" spans="2:20" x14ac:dyDescent="0.2">
      <c r="B317" s="925" t="s">
        <v>1483</v>
      </c>
      <c r="C317" s="925"/>
      <c r="D317" s="48"/>
      <c r="E317" s="48"/>
      <c r="F317" s="48"/>
      <c r="G317" s="47"/>
      <c r="I317" s="49"/>
    </row>
    <row r="318" spans="2:20" x14ac:dyDescent="0.2">
      <c r="B318" s="45" t="s">
        <v>68</v>
      </c>
      <c r="C318" s="47"/>
      <c r="D318" s="48"/>
      <c r="E318" s="48"/>
      <c r="F318" s="48"/>
      <c r="G318" s="47"/>
    </row>
    <row r="319" spans="2:20" x14ac:dyDescent="0.2">
      <c r="B319" s="45"/>
      <c r="C319" s="47"/>
      <c r="D319" s="48"/>
      <c r="E319" s="48"/>
      <c r="F319" s="48"/>
      <c r="G319" s="47"/>
    </row>
    <row r="320" spans="2:20" x14ac:dyDescent="0.2">
      <c r="B320" s="45"/>
    </row>
    <row r="321" spans="2:10" x14ac:dyDescent="0.2">
      <c r="B321" s="991" t="s">
        <v>828</v>
      </c>
      <c r="C321" s="991"/>
      <c r="D321" s="991"/>
      <c r="E321" s="991"/>
      <c r="F321" s="991"/>
      <c r="G321" s="991"/>
      <c r="H321" s="49"/>
    </row>
    <row r="322" spans="2:10" x14ac:dyDescent="0.2">
      <c r="B322" s="207" t="s">
        <v>337</v>
      </c>
      <c r="C322" s="207" t="s">
        <v>333</v>
      </c>
      <c r="D322" s="207" t="s">
        <v>334</v>
      </c>
      <c r="E322" s="740" t="s">
        <v>338</v>
      </c>
      <c r="F322" s="740"/>
      <c r="G322" s="740" t="s">
        <v>339</v>
      </c>
      <c r="H322" s="740"/>
      <c r="I322" s="740" t="s">
        <v>340</v>
      </c>
      <c r="J322" s="740"/>
    </row>
    <row r="323" spans="2:10" ht="16" thickBot="1" x14ac:dyDescent="0.25">
      <c r="B323" s="603" t="s">
        <v>52</v>
      </c>
      <c r="C323" s="603" t="s">
        <v>52</v>
      </c>
      <c r="D323" s="603" t="s">
        <v>52</v>
      </c>
      <c r="E323" s="926" t="s">
        <v>52</v>
      </c>
      <c r="F323" s="926"/>
      <c r="G323" s="926" t="s">
        <v>52</v>
      </c>
      <c r="H323" s="926"/>
      <c r="I323" s="926" t="s">
        <v>52</v>
      </c>
      <c r="J323" s="926"/>
    </row>
    <row r="324" spans="2:10" x14ac:dyDescent="0.2">
      <c r="B324" s="925" t="s">
        <v>1483</v>
      </c>
      <c r="C324" s="925"/>
      <c r="D324" s="48"/>
      <c r="E324" s="48"/>
      <c r="F324" s="47"/>
      <c r="G324" s="69"/>
    </row>
    <row r="325" spans="2:10" x14ac:dyDescent="0.2">
      <c r="B325" s="45" t="s">
        <v>68</v>
      </c>
      <c r="C325" s="45"/>
    </row>
  </sheetData>
  <mergeCells count="944">
    <mergeCell ref="B321:G321"/>
    <mergeCell ref="J233:J234"/>
    <mergeCell ref="J235:J236"/>
    <mergeCell ref="K233:K234"/>
    <mergeCell ref="K235:K236"/>
    <mergeCell ref="F273:G273"/>
    <mergeCell ref="H273:I273"/>
    <mergeCell ref="M282:P282"/>
    <mergeCell ref="R282:R283"/>
    <mergeCell ref="R235:R236"/>
    <mergeCell ref="P235:P236"/>
    <mergeCell ref="B298:C298"/>
    <mergeCell ref="C305:E306"/>
    <mergeCell ref="B305:B306"/>
    <mergeCell ref="F305:F306"/>
    <mergeCell ref="G305:G306"/>
    <mergeCell ref="H305:H306"/>
    <mergeCell ref="I305:J306"/>
    <mergeCell ref="G233:G234"/>
    <mergeCell ref="G235:G236"/>
    <mergeCell ref="B288:C288"/>
    <mergeCell ref="B297:C297"/>
    <mergeCell ref="B295:C295"/>
    <mergeCell ref="D295:E297"/>
    <mergeCell ref="S282:S283"/>
    <mergeCell ref="H275:I275"/>
    <mergeCell ref="H276:I276"/>
    <mergeCell ref="H274:I274"/>
    <mergeCell ref="L233:M233"/>
    <mergeCell ref="R233:R234"/>
    <mergeCell ref="Q235:Q236"/>
    <mergeCell ref="J186:J187"/>
    <mergeCell ref="K172:K175"/>
    <mergeCell ref="H179:I180"/>
    <mergeCell ref="J179:J180"/>
    <mergeCell ref="K179:K180"/>
    <mergeCell ref="L179:M179"/>
    <mergeCell ref="J177:J178"/>
    <mergeCell ref="R172:R175"/>
    <mergeCell ref="R177:R178"/>
    <mergeCell ref="N178:O178"/>
    <mergeCell ref="L174:M174"/>
    <mergeCell ref="R182:R183"/>
    <mergeCell ref="R179:R180"/>
    <mergeCell ref="N177:O177"/>
    <mergeCell ref="K177:K178"/>
    <mergeCell ref="J182:J183"/>
    <mergeCell ref="H176:I176"/>
    <mergeCell ref="L139:M139"/>
    <mergeCell ref="K157:K164"/>
    <mergeCell ref="K182:K183"/>
    <mergeCell ref="L186:M186"/>
    <mergeCell ref="L183:M183"/>
    <mergeCell ref="L172:M172"/>
    <mergeCell ref="L175:M175"/>
    <mergeCell ref="L176:M176"/>
    <mergeCell ref="K149:K156"/>
    <mergeCell ref="L151:M151"/>
    <mergeCell ref="L161:M161"/>
    <mergeCell ref="L150:M150"/>
    <mergeCell ref="L149:M149"/>
    <mergeCell ref="L160:M160"/>
    <mergeCell ref="L169:M169"/>
    <mergeCell ref="L155:M155"/>
    <mergeCell ref="L159:M159"/>
    <mergeCell ref="L178:M178"/>
    <mergeCell ref="L182:M182"/>
    <mergeCell ref="L181:M181"/>
    <mergeCell ref="N110:O110"/>
    <mergeCell ref="N109:O109"/>
    <mergeCell ref="N115:O115"/>
    <mergeCell ref="J119:J121"/>
    <mergeCell ref="K119:K121"/>
    <mergeCell ref="K137:K138"/>
    <mergeCell ref="J137:J138"/>
    <mergeCell ref="K128:K129"/>
    <mergeCell ref="J128:J129"/>
    <mergeCell ref="K124:K125"/>
    <mergeCell ref="L124:M124"/>
    <mergeCell ref="N123:O123"/>
    <mergeCell ref="N132:O132"/>
    <mergeCell ref="L132:M132"/>
    <mergeCell ref="H99:I100"/>
    <mergeCell ref="J99:J100"/>
    <mergeCell ref="K99:K100"/>
    <mergeCell ref="L100:M100"/>
    <mergeCell ref="N100:O100"/>
    <mergeCell ref="H110:I110"/>
    <mergeCell ref="D103:F103"/>
    <mergeCell ref="G99:G100"/>
    <mergeCell ref="N118:O118"/>
    <mergeCell ref="K104:K105"/>
    <mergeCell ref="J106:J107"/>
    <mergeCell ref="K106:K107"/>
    <mergeCell ref="L106:M106"/>
    <mergeCell ref="N106:O106"/>
    <mergeCell ref="H118:I118"/>
    <mergeCell ref="H108:I108"/>
    <mergeCell ref="H115:I116"/>
    <mergeCell ref="H117:I117"/>
    <mergeCell ref="H111:I111"/>
    <mergeCell ref="H109:I109"/>
    <mergeCell ref="D101:F101"/>
    <mergeCell ref="D102:F102"/>
    <mergeCell ref="L118:M118"/>
    <mergeCell ref="L117:M117"/>
    <mergeCell ref="M57:N57"/>
    <mergeCell ref="M86:N86"/>
    <mergeCell ref="L103:M103"/>
    <mergeCell ref="L105:M105"/>
    <mergeCell ref="L99:M99"/>
    <mergeCell ref="L107:M107"/>
    <mergeCell ref="N103:O103"/>
    <mergeCell ref="N104:O104"/>
    <mergeCell ref="N99:O99"/>
    <mergeCell ref="M65:N65"/>
    <mergeCell ref="L98:M98"/>
    <mergeCell ref="N107:O107"/>
    <mergeCell ref="N98:O98"/>
    <mergeCell ref="N102:O102"/>
    <mergeCell ref="M78:N78"/>
    <mergeCell ref="M61:N62"/>
    <mergeCell ref="L61:L62"/>
    <mergeCell ref="M85:N85"/>
    <mergeCell ref="M76:N77"/>
    <mergeCell ref="B37:C37"/>
    <mergeCell ref="B40:C40"/>
    <mergeCell ref="D137:F138"/>
    <mergeCell ref="H142:I143"/>
    <mergeCell ref="G142:G143"/>
    <mergeCell ref="G137:G138"/>
    <mergeCell ref="B87:C87"/>
    <mergeCell ref="J124:J125"/>
    <mergeCell ref="D115:F116"/>
    <mergeCell ref="J115:J116"/>
    <mergeCell ref="H122:I123"/>
    <mergeCell ref="J104:J105"/>
    <mergeCell ref="H141:I141"/>
    <mergeCell ref="H140:I140"/>
    <mergeCell ref="D128:F129"/>
    <mergeCell ref="D130:F130"/>
    <mergeCell ref="D133:F133"/>
    <mergeCell ref="D132:F132"/>
    <mergeCell ref="B68:H68"/>
    <mergeCell ref="H102:I102"/>
    <mergeCell ref="G104:G105"/>
    <mergeCell ref="B118:C118"/>
    <mergeCell ref="B117:C117"/>
    <mergeCell ref="B101:C101"/>
    <mergeCell ref="B14:F14"/>
    <mergeCell ref="B36:C36"/>
    <mergeCell ref="B34:C35"/>
    <mergeCell ref="D34:E34"/>
    <mergeCell ref="F34:F35"/>
    <mergeCell ref="G34:H34"/>
    <mergeCell ref="B29:H29"/>
    <mergeCell ref="B32:H32"/>
    <mergeCell ref="B28:C28"/>
    <mergeCell ref="B27:C27"/>
    <mergeCell ref="B21:C21"/>
    <mergeCell ref="B15:C15"/>
    <mergeCell ref="B33:C33"/>
    <mergeCell ref="D33:E33"/>
    <mergeCell ref="F33:G33"/>
    <mergeCell ref="B16:C20"/>
    <mergeCell ref="B22:C26"/>
    <mergeCell ref="R168:R171"/>
    <mergeCell ref="R144:R145"/>
    <mergeCell ref="N159:O159"/>
    <mergeCell ref="N164:O164"/>
    <mergeCell ref="N163:O163"/>
    <mergeCell ref="N162:O162"/>
    <mergeCell ref="R157:R164"/>
    <mergeCell ref="N169:O169"/>
    <mergeCell ref="N168:O168"/>
    <mergeCell ref="B166:R166"/>
    <mergeCell ref="B167:C167"/>
    <mergeCell ref="D167:F167"/>
    <mergeCell ref="H157:I164"/>
    <mergeCell ref="L158:M158"/>
    <mergeCell ref="L157:M157"/>
    <mergeCell ref="L156:M156"/>
    <mergeCell ref="N157:O157"/>
    <mergeCell ref="N156:O156"/>
    <mergeCell ref="H149:I156"/>
    <mergeCell ref="J168:J171"/>
    <mergeCell ref="H168:I171"/>
    <mergeCell ref="J157:J164"/>
    <mergeCell ref="J149:J156"/>
    <mergeCell ref="H167:I167"/>
    <mergeCell ref="L167:M167"/>
    <mergeCell ref="G211:G212"/>
    <mergeCell ref="R197:R198"/>
    <mergeCell ref="H186:I187"/>
    <mergeCell ref="N187:O187"/>
    <mergeCell ref="N192:O192"/>
    <mergeCell ref="R202:R204"/>
    <mergeCell ref="L212:M212"/>
    <mergeCell ref="N201:O201"/>
    <mergeCell ref="N204:O204"/>
    <mergeCell ref="N202:O202"/>
    <mergeCell ref="N194:O194"/>
    <mergeCell ref="N200:O200"/>
    <mergeCell ref="N195:O195"/>
    <mergeCell ref="N196:O196"/>
    <mergeCell ref="N209:O209"/>
    <mergeCell ref="N210:O210"/>
    <mergeCell ref="R186:R187"/>
    <mergeCell ref="N176:O176"/>
    <mergeCell ref="N175:O175"/>
    <mergeCell ref="N188:O188"/>
    <mergeCell ref="N186:O186"/>
    <mergeCell ref="K186:K187"/>
    <mergeCell ref="J222:J223"/>
    <mergeCell ref="J230:J231"/>
    <mergeCell ref="N234:O234"/>
    <mergeCell ref="N212:O212"/>
    <mergeCell ref="L207:M207"/>
    <mergeCell ref="L206:M206"/>
    <mergeCell ref="N203:O203"/>
    <mergeCell ref="H235:I236"/>
    <mergeCell ref="N189:O189"/>
    <mergeCell ref="L189:M189"/>
    <mergeCell ref="K188:K189"/>
    <mergeCell ref="L188:M188"/>
    <mergeCell ref="N198:O198"/>
    <mergeCell ref="N199:O199"/>
    <mergeCell ref="L232:M232"/>
    <mergeCell ref="L230:M231"/>
    <mergeCell ref="K230:K231"/>
    <mergeCell ref="L228:M228"/>
    <mergeCell ref="L227:M227"/>
    <mergeCell ref="L225:M225"/>
    <mergeCell ref="L224:M224"/>
    <mergeCell ref="L223:M223"/>
    <mergeCell ref="L222:M222"/>
    <mergeCell ref="L229:M229"/>
    <mergeCell ref="N235:O236"/>
    <mergeCell ref="N227:O227"/>
    <mergeCell ref="N225:O225"/>
    <mergeCell ref="L226:M226"/>
    <mergeCell ref="L214:M214"/>
    <mergeCell ref="N222:O222"/>
    <mergeCell ref="N233:O233"/>
    <mergeCell ref="R188:R189"/>
    <mergeCell ref="R211:R212"/>
    <mergeCell ref="N191:O191"/>
    <mergeCell ref="N211:O211"/>
    <mergeCell ref="L211:M211"/>
    <mergeCell ref="L221:M221"/>
    <mergeCell ref="L219:M219"/>
    <mergeCell ref="L218:M218"/>
    <mergeCell ref="L217:M217"/>
    <mergeCell ref="P215:P216"/>
    <mergeCell ref="N214:O214"/>
    <mergeCell ref="N217:O217"/>
    <mergeCell ref="N219:O219"/>
    <mergeCell ref="N218:O218"/>
    <mergeCell ref="N220:O220"/>
    <mergeCell ref="N197:O197"/>
    <mergeCell ref="R215:R220"/>
    <mergeCell ref="N208:O208"/>
    <mergeCell ref="N207:O207"/>
    <mergeCell ref="N206:O206"/>
    <mergeCell ref="N205:O205"/>
    <mergeCell ref="N221:O221"/>
    <mergeCell ref="R222:R223"/>
    <mergeCell ref="N232:O232"/>
    <mergeCell ref="N230:O231"/>
    <mergeCell ref="N229:O229"/>
    <mergeCell ref="N228:O228"/>
    <mergeCell ref="N224:O224"/>
    <mergeCell ref="Q230:Q231"/>
    <mergeCell ref="R230:R231"/>
    <mergeCell ref="P230:P231"/>
    <mergeCell ref="N223:O223"/>
    <mergeCell ref="Q215:Q216"/>
    <mergeCell ref="N215:O216"/>
    <mergeCell ref="N226:O226"/>
    <mergeCell ref="B287:D287"/>
    <mergeCell ref="B285:D285"/>
    <mergeCell ref="B286:D286"/>
    <mergeCell ref="N190:O190"/>
    <mergeCell ref="N193:O193"/>
    <mergeCell ref="N213:O213"/>
    <mergeCell ref="L213:M213"/>
    <mergeCell ref="L202:M202"/>
    <mergeCell ref="L235:M236"/>
    <mergeCell ref="L234:M234"/>
    <mergeCell ref="K222:K223"/>
    <mergeCell ref="L220:M220"/>
    <mergeCell ref="L204:M204"/>
    <mergeCell ref="L199:M199"/>
    <mergeCell ref="L203:M203"/>
    <mergeCell ref="L215:M216"/>
    <mergeCell ref="K215:K220"/>
    <mergeCell ref="K211:K212"/>
    <mergeCell ref="L210:M210"/>
    <mergeCell ref="L209:M209"/>
    <mergeCell ref="L208:M208"/>
    <mergeCell ref="L200:M200"/>
    <mergeCell ref="J202:J204"/>
    <mergeCell ref="K202:K204"/>
    <mergeCell ref="B293:C294"/>
    <mergeCell ref="D293:E294"/>
    <mergeCell ref="F294:H294"/>
    <mergeCell ref="I294:J294"/>
    <mergeCell ref="B241:C241"/>
    <mergeCell ref="F267:G267"/>
    <mergeCell ref="F268:G268"/>
    <mergeCell ref="B282:D283"/>
    <mergeCell ref="E282:H282"/>
    <mergeCell ref="I282:L282"/>
    <mergeCell ref="B284:D284"/>
    <mergeCell ref="B257:C258"/>
    <mergeCell ref="B261:C261"/>
    <mergeCell ref="B259:C259"/>
    <mergeCell ref="B260:C260"/>
    <mergeCell ref="F270:G270"/>
    <mergeCell ref="H270:I270"/>
    <mergeCell ref="F275:G275"/>
    <mergeCell ref="K251:K252"/>
    <mergeCell ref="H254:I254"/>
    <mergeCell ref="H253:I253"/>
    <mergeCell ref="H251:I252"/>
    <mergeCell ref="D259:F259"/>
    <mergeCell ref="F274:G274"/>
    <mergeCell ref="R237:R239"/>
    <mergeCell ref="L255:M255"/>
    <mergeCell ref="L254:M254"/>
    <mergeCell ref="L253:M253"/>
    <mergeCell ref="L251:M252"/>
    <mergeCell ref="N248:O248"/>
    <mergeCell ref="N251:O252"/>
    <mergeCell ref="N247:O247"/>
    <mergeCell ref="N246:O246"/>
    <mergeCell ref="L247:M247"/>
    <mergeCell ref="L248:M248"/>
    <mergeCell ref="N244:O244"/>
    <mergeCell ref="N254:O254"/>
    <mergeCell ref="N253:O253"/>
    <mergeCell ref="N245:O245"/>
    <mergeCell ref="L244:M244"/>
    <mergeCell ref="L243:M243"/>
    <mergeCell ref="N240:O240"/>
    <mergeCell ref="N237:O237"/>
    <mergeCell ref="N241:O241"/>
    <mergeCell ref="L249:M249"/>
    <mergeCell ref="L250:M250"/>
    <mergeCell ref="L246:M246"/>
    <mergeCell ref="L242:M242"/>
    <mergeCell ref="G134:G135"/>
    <mergeCell ref="G128:G129"/>
    <mergeCell ref="H127:I127"/>
    <mergeCell ref="H134:I135"/>
    <mergeCell ref="H131:I131"/>
    <mergeCell ref="H133:I133"/>
    <mergeCell ref="H136:I136"/>
    <mergeCell ref="D131:F131"/>
    <mergeCell ref="H114:I114"/>
    <mergeCell ref="H103:I103"/>
    <mergeCell ref="H128:I129"/>
    <mergeCell ref="D108:F108"/>
    <mergeCell ref="D126:F126"/>
    <mergeCell ref="D127:F127"/>
    <mergeCell ref="D124:F125"/>
    <mergeCell ref="H132:I132"/>
    <mergeCell ref="H130:I130"/>
    <mergeCell ref="H126:I126"/>
    <mergeCell ref="G124:G125"/>
    <mergeCell ref="H144:I145"/>
    <mergeCell ref="L115:M115"/>
    <mergeCell ref="L119:M119"/>
    <mergeCell ref="L120:M120"/>
    <mergeCell ref="L121:M121"/>
    <mergeCell ref="H124:I125"/>
    <mergeCell ref="N128:O128"/>
    <mergeCell ref="N131:O131"/>
    <mergeCell ref="L114:M114"/>
    <mergeCell ref="L122:M122"/>
    <mergeCell ref="J144:J145"/>
    <mergeCell ref="K144:K145"/>
    <mergeCell ref="N145:O145"/>
    <mergeCell ref="K142:K143"/>
    <mergeCell ref="N136:O136"/>
    <mergeCell ref="N141:O141"/>
    <mergeCell ref="N140:O140"/>
    <mergeCell ref="N133:O133"/>
    <mergeCell ref="J134:J135"/>
    <mergeCell ref="N135:O135"/>
    <mergeCell ref="N143:O143"/>
    <mergeCell ref="L116:M116"/>
    <mergeCell ref="L142:M142"/>
    <mergeCell ref="L140:M140"/>
    <mergeCell ref="H147:I148"/>
    <mergeCell ref="H119:I121"/>
    <mergeCell ref="L126:M126"/>
    <mergeCell ref="N119:O119"/>
    <mergeCell ref="J142:J143"/>
    <mergeCell ref="N125:O125"/>
    <mergeCell ref="N134:O134"/>
    <mergeCell ref="N127:O127"/>
    <mergeCell ref="L144:M144"/>
    <mergeCell ref="L125:M125"/>
    <mergeCell ref="L131:M131"/>
    <mergeCell ref="L130:M130"/>
    <mergeCell ref="N139:O139"/>
    <mergeCell ref="N138:O138"/>
    <mergeCell ref="H139:I139"/>
    <mergeCell ref="H137:I138"/>
    <mergeCell ref="L137:M137"/>
    <mergeCell ref="H146:I146"/>
    <mergeCell ref="L135:M135"/>
    <mergeCell ref="L134:M134"/>
    <mergeCell ref="L138:M138"/>
    <mergeCell ref="L141:M141"/>
    <mergeCell ref="N147:O147"/>
    <mergeCell ref="L143:M143"/>
    <mergeCell ref="N173:O173"/>
    <mergeCell ref="N181:O181"/>
    <mergeCell ref="N172:O172"/>
    <mergeCell ref="N174:O174"/>
    <mergeCell ref="J147:J148"/>
    <mergeCell ref="L148:M148"/>
    <mergeCell ref="N158:O158"/>
    <mergeCell ref="L163:M163"/>
    <mergeCell ref="L162:M162"/>
    <mergeCell ref="N170:O170"/>
    <mergeCell ref="N167:O167"/>
    <mergeCell ref="L170:M170"/>
    <mergeCell ref="L168:M168"/>
    <mergeCell ref="L164:M164"/>
    <mergeCell ref="K168:K171"/>
    <mergeCell ref="N161:O161"/>
    <mergeCell ref="N160:O160"/>
    <mergeCell ref="L153:M153"/>
    <mergeCell ref="L152:M152"/>
    <mergeCell ref="L171:M171"/>
    <mergeCell ref="N149:O149"/>
    <mergeCell ref="L173:M173"/>
    <mergeCell ref="L177:M177"/>
    <mergeCell ref="N171:O171"/>
    <mergeCell ref="N182:O182"/>
    <mergeCell ref="K197:K198"/>
    <mergeCell ref="L201:M201"/>
    <mergeCell ref="L205:M205"/>
    <mergeCell ref="L198:M198"/>
    <mergeCell ref="H190:I190"/>
    <mergeCell ref="H191:I191"/>
    <mergeCell ref="H193:I193"/>
    <mergeCell ref="J188:J189"/>
    <mergeCell ref="L193:M193"/>
    <mergeCell ref="L194:M194"/>
    <mergeCell ref="L192:M192"/>
    <mergeCell ref="L190:M190"/>
    <mergeCell ref="L191:M191"/>
    <mergeCell ref="L196:M196"/>
    <mergeCell ref="L195:M195"/>
    <mergeCell ref="J197:J198"/>
    <mergeCell ref="L197:M197"/>
    <mergeCell ref="N185:O185"/>
    <mergeCell ref="L185:M185"/>
    <mergeCell ref="N184:O184"/>
    <mergeCell ref="L184:M184"/>
    <mergeCell ref="N183:O183"/>
    <mergeCell ref="L187:M187"/>
    <mergeCell ref="H172:I175"/>
    <mergeCell ref="J172:J175"/>
    <mergeCell ref="H195:I195"/>
    <mergeCell ref="H221:I221"/>
    <mergeCell ref="H201:I201"/>
    <mergeCell ref="H200:I200"/>
    <mergeCell ref="H208:I208"/>
    <mergeCell ref="H205:I205"/>
    <mergeCell ref="H202:I204"/>
    <mergeCell ref="H206:I206"/>
    <mergeCell ref="H215:I220"/>
    <mergeCell ref="H194:I194"/>
    <mergeCell ref="H192:I192"/>
    <mergeCell ref="J211:J212"/>
    <mergeCell ref="H214:I214"/>
    <mergeCell ref="H182:I183"/>
    <mergeCell ref="H184:I184"/>
    <mergeCell ref="H188:I189"/>
    <mergeCell ref="H207:I207"/>
    <mergeCell ref="H210:I210"/>
    <mergeCell ref="H185:I185"/>
    <mergeCell ref="J215:J220"/>
    <mergeCell ref="H211:I212"/>
    <mergeCell ref="H181:I181"/>
    <mergeCell ref="B144:C145"/>
    <mergeCell ref="D144:F145"/>
    <mergeCell ref="G144:G145"/>
    <mergeCell ref="D168:F171"/>
    <mergeCell ref="D149:F156"/>
    <mergeCell ref="G157:G164"/>
    <mergeCell ref="G149:G156"/>
    <mergeCell ref="B146:C146"/>
    <mergeCell ref="D146:F146"/>
    <mergeCell ref="B168:C171"/>
    <mergeCell ref="G168:G171"/>
    <mergeCell ref="D147:F148"/>
    <mergeCell ref="B157:C164"/>
    <mergeCell ref="B149:C156"/>
    <mergeCell ref="B147:C148"/>
    <mergeCell ref="B172:C175"/>
    <mergeCell ref="D172:F175"/>
    <mergeCell ref="G172:G175"/>
    <mergeCell ref="D186:F187"/>
    <mergeCell ref="D185:F185"/>
    <mergeCell ref="D184:F184"/>
    <mergeCell ref="D182:F183"/>
    <mergeCell ref="G63:H63"/>
    <mergeCell ref="M63:N63"/>
    <mergeCell ref="E64:F64"/>
    <mergeCell ref="L76:L77"/>
    <mergeCell ref="E82:F83"/>
    <mergeCell ref="G82:H83"/>
    <mergeCell ref="K82:K83"/>
    <mergeCell ref="L82:L83"/>
    <mergeCell ref="G64:H64"/>
    <mergeCell ref="E80:F80"/>
    <mergeCell ref="G80:H80"/>
    <mergeCell ref="E76:F77"/>
    <mergeCell ref="G76:H77"/>
    <mergeCell ref="M82:N83"/>
    <mergeCell ref="M64:N64"/>
    <mergeCell ref="E79:F79"/>
    <mergeCell ref="G79:H79"/>
    <mergeCell ref="I34:I35"/>
    <mergeCell ref="G61:H62"/>
    <mergeCell ref="K61:K62"/>
    <mergeCell ref="E58:F58"/>
    <mergeCell ref="E59:F59"/>
    <mergeCell ref="E57:F57"/>
    <mergeCell ref="I61:I62"/>
    <mergeCell ref="J61:J62"/>
    <mergeCell ref="E61:F62"/>
    <mergeCell ref="G59:H59"/>
    <mergeCell ref="G58:H58"/>
    <mergeCell ref="G57:H57"/>
    <mergeCell ref="G55:H56"/>
    <mergeCell ref="I55:I56"/>
    <mergeCell ref="K55:K56"/>
    <mergeCell ref="D42:E42"/>
    <mergeCell ref="F42:G42"/>
    <mergeCell ref="B42:C42"/>
    <mergeCell ref="B43:C44"/>
    <mergeCell ref="B48:C48"/>
    <mergeCell ref="G86:H86"/>
    <mergeCell ref="B98:C98"/>
    <mergeCell ref="H98:I98"/>
    <mergeCell ref="G78:H78"/>
    <mergeCell ref="B97:R97"/>
    <mergeCell ref="D98:F98"/>
    <mergeCell ref="B84:C85"/>
    <mergeCell ref="E84:F84"/>
    <mergeCell ref="G84:H84"/>
    <mergeCell ref="I82:I83"/>
    <mergeCell ref="J82:J83"/>
    <mergeCell ref="I76:I77"/>
    <mergeCell ref="M79:N79"/>
    <mergeCell ref="M80:N80"/>
    <mergeCell ref="K76:K77"/>
    <mergeCell ref="M84:N84"/>
    <mergeCell ref="G85:H85"/>
    <mergeCell ref="B71:H71"/>
    <mergeCell ref="B78:C79"/>
    <mergeCell ref="E78:F78"/>
    <mergeCell ref="B72:N72"/>
    <mergeCell ref="B47:C47"/>
    <mergeCell ref="D43:E43"/>
    <mergeCell ref="F43:F44"/>
    <mergeCell ref="J55:J56"/>
    <mergeCell ref="B54:H54"/>
    <mergeCell ref="B57:C58"/>
    <mergeCell ref="B59:D59"/>
    <mergeCell ref="G65:H65"/>
    <mergeCell ref="J76:J77"/>
    <mergeCell ref="M55:N56"/>
    <mergeCell ref="L55:L56"/>
    <mergeCell ref="M59:N59"/>
    <mergeCell ref="M58:N58"/>
    <mergeCell ref="B38:C38"/>
    <mergeCell ref="D117:F117"/>
    <mergeCell ref="D122:F123"/>
    <mergeCell ref="D111:F111"/>
    <mergeCell ref="B86:D86"/>
    <mergeCell ref="E86:F86"/>
    <mergeCell ref="D104:F105"/>
    <mergeCell ref="D118:F118"/>
    <mergeCell ref="D114:F114"/>
    <mergeCell ref="B99:C100"/>
    <mergeCell ref="B49:C49"/>
    <mergeCell ref="E85:F85"/>
    <mergeCell ref="B66:C66"/>
    <mergeCell ref="B80:D80"/>
    <mergeCell ref="I43:I44"/>
    <mergeCell ref="E55:F56"/>
    <mergeCell ref="G43:H43"/>
    <mergeCell ref="B51:J51"/>
    <mergeCell ref="B45:C45"/>
    <mergeCell ref="B46:C46"/>
    <mergeCell ref="B142:C143"/>
    <mergeCell ref="B141:C141"/>
    <mergeCell ref="B140:C140"/>
    <mergeCell ref="B139:C139"/>
    <mergeCell ref="B137:C138"/>
    <mergeCell ref="D140:F140"/>
    <mergeCell ref="D139:F139"/>
    <mergeCell ref="D142:F143"/>
    <mergeCell ref="D119:F121"/>
    <mergeCell ref="B122:C123"/>
    <mergeCell ref="D136:F136"/>
    <mergeCell ref="D134:F135"/>
    <mergeCell ref="B194:C194"/>
    <mergeCell ref="B193:C193"/>
    <mergeCell ref="B221:C221"/>
    <mergeCell ref="B214:C214"/>
    <mergeCell ref="D214:F214"/>
    <mergeCell ref="B206:C206"/>
    <mergeCell ref="B205:C205"/>
    <mergeCell ref="B202:C204"/>
    <mergeCell ref="B39:C39"/>
    <mergeCell ref="B50:C50"/>
    <mergeCell ref="B65:D65"/>
    <mergeCell ref="E65:F65"/>
    <mergeCell ref="B63:C64"/>
    <mergeCell ref="E63:F63"/>
    <mergeCell ref="B124:C125"/>
    <mergeCell ref="B119:C121"/>
    <mergeCell ref="B103:C103"/>
    <mergeCell ref="B102:C102"/>
    <mergeCell ref="B104:C105"/>
    <mergeCell ref="D99:F100"/>
    <mergeCell ref="B111:C111"/>
    <mergeCell ref="B110:C110"/>
    <mergeCell ref="D110:F110"/>
    <mergeCell ref="D109:F109"/>
    <mergeCell ref="B192:C192"/>
    <mergeCell ref="D194:F194"/>
    <mergeCell ref="B190:C190"/>
    <mergeCell ref="D190:F190"/>
    <mergeCell ref="B191:C191"/>
    <mergeCell ref="D191:F191"/>
    <mergeCell ref="B225:C225"/>
    <mergeCell ref="D225:F225"/>
    <mergeCell ref="H225:I225"/>
    <mergeCell ref="B208:C208"/>
    <mergeCell ref="B207:C207"/>
    <mergeCell ref="D211:F212"/>
    <mergeCell ref="D206:F206"/>
    <mergeCell ref="D205:F205"/>
    <mergeCell ref="D193:F193"/>
    <mergeCell ref="G197:G198"/>
    <mergeCell ref="H199:I199"/>
    <mergeCell ref="H197:I198"/>
    <mergeCell ref="H196:I196"/>
    <mergeCell ref="B210:C210"/>
    <mergeCell ref="B209:C209"/>
    <mergeCell ref="D202:F204"/>
    <mergeCell ref="B211:C212"/>
    <mergeCell ref="B222:C223"/>
    <mergeCell ref="B226:C226"/>
    <mergeCell ref="D226:F226"/>
    <mergeCell ref="H226:I226"/>
    <mergeCell ref="D213:F213"/>
    <mergeCell ref="D222:F223"/>
    <mergeCell ref="D224:F224"/>
    <mergeCell ref="B224:C224"/>
    <mergeCell ref="H222:I223"/>
    <mergeCell ref="H224:I224"/>
    <mergeCell ref="B213:C213"/>
    <mergeCell ref="D221:F221"/>
    <mergeCell ref="G215:G220"/>
    <mergeCell ref="G222:G223"/>
    <mergeCell ref="H213:I213"/>
    <mergeCell ref="D215:F220"/>
    <mergeCell ref="B215:C220"/>
    <mergeCell ref="F276:G276"/>
    <mergeCell ref="K255:K256"/>
    <mergeCell ref="B277:C277"/>
    <mergeCell ref="B266:C266"/>
    <mergeCell ref="F271:G271"/>
    <mergeCell ref="H269:I269"/>
    <mergeCell ref="F269:G269"/>
    <mergeCell ref="H271:I271"/>
    <mergeCell ref="J251:J252"/>
    <mergeCell ref="B272:C276"/>
    <mergeCell ref="F272:G272"/>
    <mergeCell ref="H272:I272"/>
    <mergeCell ref="H257:I258"/>
    <mergeCell ref="D253:F253"/>
    <mergeCell ref="D254:F254"/>
    <mergeCell ref="D251:F252"/>
    <mergeCell ref="B196:C196"/>
    <mergeCell ref="B195:C195"/>
    <mergeCell ref="B188:C189"/>
    <mergeCell ref="N179:O179"/>
    <mergeCell ref="L180:M180"/>
    <mergeCell ref="N180:O180"/>
    <mergeCell ref="B324:C324"/>
    <mergeCell ref="C315:D315"/>
    <mergeCell ref="G315:H315"/>
    <mergeCell ref="I315:J315"/>
    <mergeCell ref="B317:C317"/>
    <mergeCell ref="B310:C310"/>
    <mergeCell ref="E322:F322"/>
    <mergeCell ref="E323:F323"/>
    <mergeCell ref="G323:H323"/>
    <mergeCell ref="N243:O243"/>
    <mergeCell ref="N242:O242"/>
    <mergeCell ref="H255:I256"/>
    <mergeCell ref="J255:J256"/>
    <mergeCell ref="G322:H322"/>
    <mergeCell ref="I322:J322"/>
    <mergeCell ref="I323:J323"/>
    <mergeCell ref="G251:G252"/>
    <mergeCell ref="H228:I228"/>
    <mergeCell ref="H227:I227"/>
    <mergeCell ref="B230:C231"/>
    <mergeCell ref="A172:A175"/>
    <mergeCell ref="D192:F192"/>
    <mergeCell ref="D201:F201"/>
    <mergeCell ref="B201:C201"/>
    <mergeCell ref="B200:C200"/>
    <mergeCell ref="B199:C199"/>
    <mergeCell ref="D200:F200"/>
    <mergeCell ref="D199:F199"/>
    <mergeCell ref="D197:F198"/>
    <mergeCell ref="D196:F196"/>
    <mergeCell ref="D195:F195"/>
    <mergeCell ref="D181:F181"/>
    <mergeCell ref="B186:C187"/>
    <mergeCell ref="B185:C185"/>
    <mergeCell ref="B184:C184"/>
    <mergeCell ref="B182:C183"/>
    <mergeCell ref="B177:C178"/>
    <mergeCell ref="B176:C176"/>
    <mergeCell ref="B181:C181"/>
    <mergeCell ref="A179:A180"/>
    <mergeCell ref="B197:C198"/>
    <mergeCell ref="H209:I209"/>
    <mergeCell ref="L245:M245"/>
    <mergeCell ref="L241:M241"/>
    <mergeCell ref="L240:M240"/>
    <mergeCell ref="D245:F250"/>
    <mergeCell ref="G245:G250"/>
    <mergeCell ref="K245:K250"/>
    <mergeCell ref="H240:I240"/>
    <mergeCell ref="D241:F241"/>
    <mergeCell ref="B244:C244"/>
    <mergeCell ref="D228:F228"/>
    <mergeCell ref="D227:F227"/>
    <mergeCell ref="B228:C228"/>
    <mergeCell ref="B227:C227"/>
    <mergeCell ref="B235:C236"/>
    <mergeCell ref="B233:C234"/>
    <mergeCell ref="B232:C232"/>
    <mergeCell ref="B237:C239"/>
    <mergeCell ref="B240:C240"/>
    <mergeCell ref="D240:F240"/>
    <mergeCell ref="D230:F231"/>
    <mergeCell ref="D235:F236"/>
    <mergeCell ref="D232:F232"/>
    <mergeCell ref="D233:F234"/>
    <mergeCell ref="B229:C229"/>
    <mergeCell ref="D229:F229"/>
    <mergeCell ref="N257:O257"/>
    <mergeCell ref="N259:O259"/>
    <mergeCell ref="N256:O256"/>
    <mergeCell ref="B267:C271"/>
    <mergeCell ref="B255:C256"/>
    <mergeCell ref="D255:F256"/>
    <mergeCell ref="G255:G256"/>
    <mergeCell ref="H259:I259"/>
    <mergeCell ref="H260:I260"/>
    <mergeCell ref="H267:I267"/>
    <mergeCell ref="H268:I268"/>
    <mergeCell ref="N260:O260"/>
    <mergeCell ref="N258:O258"/>
    <mergeCell ref="R245:R250"/>
    <mergeCell ref="N249:O249"/>
    <mergeCell ref="F266:G266"/>
    <mergeCell ref="B262:H262"/>
    <mergeCell ref="B265:F265"/>
    <mergeCell ref="H266:I266"/>
    <mergeCell ref="L260:M260"/>
    <mergeCell ref="L257:M257"/>
    <mergeCell ref="L256:M256"/>
    <mergeCell ref="L258:M258"/>
    <mergeCell ref="D257:F258"/>
    <mergeCell ref="G257:G258"/>
    <mergeCell ref="D260:F260"/>
    <mergeCell ref="R257:R258"/>
    <mergeCell ref="L259:M259"/>
    <mergeCell ref="J257:J258"/>
    <mergeCell ref="K257:K258"/>
    <mergeCell ref="R255:R256"/>
    <mergeCell ref="R251:R252"/>
    <mergeCell ref="P251:P252"/>
    <mergeCell ref="Q251:Q252"/>
    <mergeCell ref="N250:O250"/>
    <mergeCell ref="J245:J250"/>
    <mergeCell ref="N255:O255"/>
    <mergeCell ref="H229:I229"/>
    <mergeCell ref="B242:C243"/>
    <mergeCell ref="B254:C254"/>
    <mergeCell ref="B253:C253"/>
    <mergeCell ref="B251:C252"/>
    <mergeCell ref="B245:C250"/>
    <mergeCell ref="H237:I239"/>
    <mergeCell ref="H245:I250"/>
    <mergeCell ref="D237:F239"/>
    <mergeCell ref="G237:G239"/>
    <mergeCell ref="H241:I241"/>
    <mergeCell ref="G242:G243"/>
    <mergeCell ref="D242:F243"/>
    <mergeCell ref="D244:F244"/>
    <mergeCell ref="H232:I232"/>
    <mergeCell ref="H230:I231"/>
    <mergeCell ref="G230:G231"/>
    <mergeCell ref="H233:I234"/>
    <mergeCell ref="J237:J239"/>
    <mergeCell ref="L238:M238"/>
    <mergeCell ref="N238:O238"/>
    <mergeCell ref="L239:M239"/>
    <mergeCell ref="N239:O239"/>
    <mergeCell ref="K237:K239"/>
    <mergeCell ref="L237:M237"/>
    <mergeCell ref="H244:I244"/>
    <mergeCell ref="K242:K243"/>
    <mergeCell ref="H242:I243"/>
    <mergeCell ref="J242:J243"/>
    <mergeCell ref="D210:F210"/>
    <mergeCell ref="D188:F189"/>
    <mergeCell ref="G147:G148"/>
    <mergeCell ref="D157:F164"/>
    <mergeCell ref="D177:F178"/>
    <mergeCell ref="D176:F176"/>
    <mergeCell ref="G182:G183"/>
    <mergeCell ref="G202:G204"/>
    <mergeCell ref="G188:G189"/>
    <mergeCell ref="G177:G178"/>
    <mergeCell ref="D209:F209"/>
    <mergeCell ref="D208:F208"/>
    <mergeCell ref="G186:G187"/>
    <mergeCell ref="D207:F207"/>
    <mergeCell ref="B179:C180"/>
    <mergeCell ref="D179:F180"/>
    <mergeCell ref="G179:G180"/>
    <mergeCell ref="H177:I178"/>
    <mergeCell ref="L101:M101"/>
    <mergeCell ref="N101:O101"/>
    <mergeCell ref="K134:K135"/>
    <mergeCell ref="N142:O142"/>
    <mergeCell ref="B106:C107"/>
    <mergeCell ref="D106:F107"/>
    <mergeCell ref="G106:G107"/>
    <mergeCell ref="H106:I107"/>
    <mergeCell ref="B112:C113"/>
    <mergeCell ref="D112:F113"/>
    <mergeCell ref="G112:G113"/>
    <mergeCell ref="H112:I113"/>
    <mergeCell ref="B136:C136"/>
    <mergeCell ref="B134:C135"/>
    <mergeCell ref="B133:C133"/>
    <mergeCell ref="D141:F141"/>
    <mergeCell ref="H101:I101"/>
    <mergeCell ref="L104:M104"/>
    <mergeCell ref="L102:M102"/>
    <mergeCell ref="L129:M129"/>
    <mergeCell ref="R149:R156"/>
    <mergeCell ref="R142:R143"/>
    <mergeCell ref="L128:M128"/>
    <mergeCell ref="L127:M127"/>
    <mergeCell ref="R134:R135"/>
    <mergeCell ref="R137:R138"/>
    <mergeCell ref="L145:M145"/>
    <mergeCell ref="L111:M111"/>
    <mergeCell ref="N117:O117"/>
    <mergeCell ref="N114:O114"/>
    <mergeCell ref="R128:R129"/>
    <mergeCell ref="L136:M136"/>
    <mergeCell ref="N150:O150"/>
    <mergeCell ref="R115:R116"/>
    <mergeCell ref="R119:R121"/>
    <mergeCell ref="L146:M146"/>
    <mergeCell ref="N146:O146"/>
    <mergeCell ref="L133:M133"/>
    <mergeCell ref="N148:O148"/>
    <mergeCell ref="N144:O144"/>
    <mergeCell ref="N153:O153"/>
    <mergeCell ref="N152:O152"/>
    <mergeCell ref="L113:M113"/>
    <mergeCell ref="N113:O113"/>
    <mergeCell ref="R104:R105"/>
    <mergeCell ref="J112:J113"/>
    <mergeCell ref="K112:K113"/>
    <mergeCell ref="L112:M112"/>
    <mergeCell ref="N112:O112"/>
    <mergeCell ref="R112:R113"/>
    <mergeCell ref="N137:O137"/>
    <mergeCell ref="R122:R123"/>
    <mergeCell ref="N122:O122"/>
    <mergeCell ref="N124:O124"/>
    <mergeCell ref="L123:M123"/>
    <mergeCell ref="J122:J123"/>
    <mergeCell ref="N120:O120"/>
    <mergeCell ref="N121:O121"/>
    <mergeCell ref="K122:K123"/>
    <mergeCell ref="N111:O111"/>
    <mergeCell ref="L110:M110"/>
    <mergeCell ref="L109:M109"/>
    <mergeCell ref="R124:R125"/>
    <mergeCell ref="N130:O130"/>
    <mergeCell ref="N129:O129"/>
    <mergeCell ref="L108:M108"/>
    <mergeCell ref="N105:O105"/>
    <mergeCell ref="N108:O108"/>
    <mergeCell ref="R99:R100"/>
    <mergeCell ref="N155:O155"/>
    <mergeCell ref="L154:M154"/>
    <mergeCell ref="N154:O154"/>
    <mergeCell ref="B132:C132"/>
    <mergeCell ref="B127:C127"/>
    <mergeCell ref="B109:C109"/>
    <mergeCell ref="B108:C108"/>
    <mergeCell ref="B126:C126"/>
    <mergeCell ref="B115:C116"/>
    <mergeCell ref="B114:C114"/>
    <mergeCell ref="B131:C131"/>
    <mergeCell ref="G122:G123"/>
    <mergeCell ref="G115:G116"/>
    <mergeCell ref="B130:C130"/>
    <mergeCell ref="B128:C129"/>
    <mergeCell ref="G119:G121"/>
    <mergeCell ref="H104:I105"/>
    <mergeCell ref="L147:M147"/>
    <mergeCell ref="K147:K148"/>
    <mergeCell ref="N151:O151"/>
    <mergeCell ref="N126:O126"/>
    <mergeCell ref="K115:K116"/>
    <mergeCell ref="N116:O116"/>
  </mergeCells>
  <phoneticPr fontId="32" type="noConversion"/>
  <conditionalFormatting sqref="B172">
    <cfRule type="duplicateValues" dxfId="50" priority="11"/>
  </conditionalFormatting>
  <conditionalFormatting sqref="B182">
    <cfRule type="duplicateValues" dxfId="49" priority="10"/>
  </conditionalFormatting>
  <conditionalFormatting sqref="B199">
    <cfRule type="duplicateValues" dxfId="48" priority="7"/>
  </conditionalFormatting>
  <conditionalFormatting sqref="B200">
    <cfRule type="duplicateValues" dxfId="47" priority="8"/>
  </conditionalFormatting>
  <conditionalFormatting sqref="B202">
    <cfRule type="duplicateValues" dxfId="46" priority="6"/>
  </conditionalFormatting>
  <conditionalFormatting sqref="B215 B221">
    <cfRule type="duplicateValues" dxfId="45" priority="85"/>
  </conditionalFormatting>
  <conditionalFormatting sqref="B257">
    <cfRule type="duplicateValues" dxfId="44" priority="15"/>
  </conditionalFormatting>
  <conditionalFormatting sqref="B259">
    <cfRule type="duplicateValues" dxfId="43" priority="14"/>
  </conditionalFormatting>
  <conditionalFormatting sqref="B260 B166 B222 B168 B177 B184:B186 B232:B233 B244:B245 B237 B235 B253:B255 B251 B179 B205:B214 B201 B240:B242 B188 B190:B197 B224:B230">
    <cfRule type="duplicateValues" dxfId="42" priority="195"/>
  </conditionalFormatting>
  <conditionalFormatting sqref="E298:E299 G298:G299 I298:I299">
    <cfRule type="duplicateValues" dxfId="41" priority="16"/>
  </conditionalFormatting>
  <conditionalFormatting sqref="F50">
    <cfRule type="duplicateValues" dxfId="40" priority="28"/>
  </conditionalFormatting>
  <conditionalFormatting sqref="K42:K47">
    <cfRule type="duplicateValues" dxfId="39" priority="54"/>
  </conditionalFormatting>
  <conditionalFormatting sqref="K60">
    <cfRule type="duplicateValues" dxfId="38" priority="3"/>
  </conditionalFormatting>
  <conditionalFormatting sqref="K74:K75">
    <cfRule type="duplicateValues" dxfId="37" priority="57"/>
  </conditionalFormatting>
  <conditionalFormatting sqref="K81">
    <cfRule type="duplicateValues" dxfId="36" priority="17"/>
  </conditionalFormatting>
  <conditionalFormatting sqref="K87:K88">
    <cfRule type="duplicateValues" dxfId="35" priority="55"/>
  </conditionalFormatting>
  <conditionalFormatting sqref="K277:K278">
    <cfRule type="duplicateValues" dxfId="34" priority="2"/>
  </conditionalFormatting>
  <conditionalFormatting sqref="K280:K281">
    <cfRule type="duplicateValues" dxfId="33" priority="64"/>
  </conditionalFormatting>
  <conditionalFormatting sqref="K288:K291">
    <cfRule type="duplicateValues" dxfId="32" priority="59"/>
  </conditionalFormatting>
  <conditionalFormatting sqref="K292">
    <cfRule type="duplicateValues" dxfId="31" priority="171"/>
  </conditionalFormatting>
  <conditionalFormatting sqref="K298:K304">
    <cfRule type="duplicateValues" dxfId="30" priority="172"/>
  </conditionalFormatting>
  <conditionalFormatting sqref="K317:K319 K313:K314">
    <cfRule type="duplicateValues" dxfId="29" priority="69"/>
  </conditionalFormatting>
  <conditionalFormatting sqref="K320 K311:K312">
    <cfRule type="duplicateValues" dxfId="28" priority="68"/>
  </conditionalFormatting>
  <conditionalFormatting sqref="K321:K326">
    <cfRule type="duplicateValues" dxfId="27" priority="173"/>
  </conditionalFormatting>
  <conditionalFormatting sqref="K327:K1048576 K261:K265 K1:K14 K28:K33 K41 K89:K96 K310 K50:K54 K66:K71 K279 K73">
    <cfRule type="duplicateValues" dxfId="26" priority="170"/>
  </conditionalFormatting>
  <conditionalFormatting sqref="W228">
    <cfRule type="duplicateValues" dxfId="25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D274"/>
  <sheetViews>
    <sheetView zoomScaleNormal="100" workbookViewId="0">
      <selection activeCell="I6" sqref="I6"/>
    </sheetView>
  </sheetViews>
  <sheetFormatPr baseColWidth="10" defaultColWidth="11.5" defaultRowHeight="15" x14ac:dyDescent="0.2"/>
  <cols>
    <col min="4" max="4" width="11.5" customWidth="1"/>
    <col min="5" max="5" width="19.1640625" customWidth="1"/>
    <col min="6" max="21" width="11.5" customWidth="1"/>
    <col min="23" max="25" width="11.5" customWidth="1"/>
  </cols>
  <sheetData>
    <row r="7" spans="2:18" ht="18" x14ac:dyDescent="0.2">
      <c r="B7" s="1" t="s">
        <v>0</v>
      </c>
    </row>
    <row r="9" spans="2:18" ht="18" x14ac:dyDescent="0.2">
      <c r="B9" s="1" t="s">
        <v>669</v>
      </c>
    </row>
    <row r="10" spans="2:18" ht="18" x14ac:dyDescent="0.2">
      <c r="B10" s="1"/>
    </row>
    <row r="11" spans="2:18" x14ac:dyDescent="0.2">
      <c r="B11" s="50"/>
    </row>
    <row r="12" spans="2:18" x14ac:dyDescent="0.2">
      <c r="B12" s="1068" t="s">
        <v>829</v>
      </c>
      <c r="C12" s="1068"/>
      <c r="D12" s="1068"/>
      <c r="E12" s="1068"/>
      <c r="G12" s="49"/>
      <c r="K12" s="49"/>
    </row>
    <row r="13" spans="2:18" ht="15" customHeight="1" x14ac:dyDescent="0.2">
      <c r="B13" s="740" t="s">
        <v>2</v>
      </c>
      <c r="C13" s="740"/>
      <c r="D13" s="740" t="s">
        <v>409</v>
      </c>
      <c r="E13" s="740"/>
      <c r="F13" s="740" t="s">
        <v>410</v>
      </c>
      <c r="G13" s="740"/>
      <c r="H13" s="740" t="s">
        <v>411</v>
      </c>
      <c r="I13" s="740"/>
      <c r="Q13" s="992"/>
      <c r="R13" s="992"/>
    </row>
    <row r="14" spans="2:18" x14ac:dyDescent="0.2">
      <c r="B14" s="740"/>
      <c r="C14" s="740"/>
      <c r="D14" s="740"/>
      <c r="E14" s="740"/>
      <c r="F14" s="740"/>
      <c r="G14" s="740"/>
      <c r="H14" s="740"/>
      <c r="I14" s="740"/>
      <c r="Q14" s="992"/>
      <c r="R14" s="992"/>
    </row>
    <row r="15" spans="2:18" ht="16" thickBot="1" x14ac:dyDescent="0.25">
      <c r="B15" s="1031" t="s">
        <v>7</v>
      </c>
      <c r="C15" s="1031"/>
      <c r="D15" s="1037">
        <v>158</v>
      </c>
      <c r="E15" s="1037"/>
      <c r="F15" s="1035">
        <v>11</v>
      </c>
      <c r="G15" s="1035"/>
      <c r="H15" s="1032">
        <v>14.363636363636363</v>
      </c>
      <c r="I15" s="1032"/>
      <c r="K15" s="49"/>
      <c r="Q15" s="1042"/>
      <c r="R15" s="1042"/>
    </row>
    <row r="16" spans="2:18" ht="21" customHeight="1" thickBot="1" x14ac:dyDescent="0.25">
      <c r="B16" s="1023" t="s">
        <v>462</v>
      </c>
      <c r="C16" s="1023"/>
      <c r="D16" s="1036">
        <v>235</v>
      </c>
      <c r="E16" s="1036"/>
      <c r="F16" s="1034">
        <v>7</v>
      </c>
      <c r="G16" s="1034"/>
      <c r="H16" s="1033">
        <v>33.57</v>
      </c>
      <c r="I16" s="1033"/>
      <c r="Q16" s="1042"/>
      <c r="R16" s="1042"/>
    </row>
    <row r="17" spans="1:17" x14ac:dyDescent="0.2">
      <c r="B17" s="925" t="s">
        <v>1483</v>
      </c>
      <c r="C17" s="925"/>
      <c r="D17" s="1039"/>
      <c r="E17" s="1039"/>
      <c r="F17" s="1040"/>
      <c r="G17" s="1040"/>
      <c r="H17" s="1041"/>
      <c r="I17" s="1041"/>
    </row>
    <row r="18" spans="1:17" x14ac:dyDescent="0.2">
      <c r="B18" s="45" t="s">
        <v>412</v>
      </c>
      <c r="C18" s="45"/>
      <c r="D18" s="833"/>
      <c r="E18" s="833"/>
      <c r="F18" s="898"/>
      <c r="G18" s="898"/>
      <c r="H18" s="1042"/>
      <c r="I18" s="1042"/>
    </row>
    <row r="19" spans="1:17" x14ac:dyDescent="0.2">
      <c r="B19" s="51"/>
    </row>
    <row r="20" spans="1:17" x14ac:dyDescent="0.2">
      <c r="B20" s="50"/>
    </row>
    <row r="21" spans="1:17" x14ac:dyDescent="0.2">
      <c r="A21" s="49"/>
      <c r="B21" s="1067" t="s">
        <v>830</v>
      </c>
      <c r="C21" s="1067"/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</row>
    <row r="22" spans="1:17" s="54" customFormat="1" ht="61.5" customHeight="1" x14ac:dyDescent="0.2">
      <c r="B22" s="740" t="s">
        <v>2</v>
      </c>
      <c r="C22" s="740"/>
      <c r="D22" s="740" t="s">
        <v>409</v>
      </c>
      <c r="E22" s="740"/>
      <c r="F22" s="741" t="s">
        <v>413</v>
      </c>
      <c r="G22" s="741"/>
      <c r="H22" s="741" t="s">
        <v>414</v>
      </c>
      <c r="I22" s="741"/>
    </row>
    <row r="23" spans="1:17" x14ac:dyDescent="0.2">
      <c r="B23" s="740"/>
      <c r="C23" s="740"/>
      <c r="D23" s="740"/>
      <c r="E23" s="740"/>
      <c r="F23" s="207" t="s">
        <v>415</v>
      </c>
      <c r="G23" s="207" t="s">
        <v>416</v>
      </c>
      <c r="H23" s="207" t="s">
        <v>415</v>
      </c>
      <c r="I23" s="207" t="s">
        <v>416</v>
      </c>
    </row>
    <row r="24" spans="1:17" ht="16" thickBot="1" x14ac:dyDescent="0.25">
      <c r="B24" s="1031" t="s">
        <v>7</v>
      </c>
      <c r="C24" s="1031"/>
      <c r="D24" s="1038">
        <v>158</v>
      </c>
      <c r="E24" s="1038"/>
      <c r="F24" s="604">
        <v>40</v>
      </c>
      <c r="G24" s="255">
        <v>0.25309999999999999</v>
      </c>
      <c r="H24" s="604">
        <v>100</v>
      </c>
      <c r="I24" s="255">
        <v>0.63290000000000002</v>
      </c>
    </row>
    <row r="25" spans="1:17" ht="21" customHeight="1" thickBot="1" x14ac:dyDescent="0.25">
      <c r="B25" s="1023" t="s">
        <v>462</v>
      </c>
      <c r="C25" s="1023"/>
      <c r="D25" s="819">
        <v>235</v>
      </c>
      <c r="E25" s="819"/>
      <c r="F25" s="605">
        <v>0</v>
      </c>
      <c r="G25" s="592">
        <v>0</v>
      </c>
      <c r="H25" s="605">
        <v>235</v>
      </c>
      <c r="I25" s="606">
        <v>1</v>
      </c>
    </row>
    <row r="26" spans="1:17" x14ac:dyDescent="0.2">
      <c r="B26" s="925" t="s">
        <v>1483</v>
      </c>
      <c r="C26" s="925"/>
      <c r="D26" s="1039"/>
      <c r="E26" s="1039"/>
      <c r="F26" s="662"/>
      <c r="G26" s="663"/>
      <c r="H26" s="662"/>
      <c r="I26" s="663"/>
    </row>
    <row r="27" spans="1:17" x14ac:dyDescent="0.2">
      <c r="B27" s="45" t="s">
        <v>412</v>
      </c>
      <c r="C27" s="45"/>
      <c r="D27" s="833"/>
      <c r="E27" s="833"/>
      <c r="F27" s="212"/>
      <c r="G27" s="664"/>
      <c r="H27" s="212"/>
      <c r="I27" s="664"/>
    </row>
    <row r="28" spans="1:17" x14ac:dyDescent="0.2">
      <c r="B28" s="52"/>
      <c r="F28" s="49"/>
    </row>
    <row r="29" spans="1:17" x14ac:dyDescent="0.2">
      <c r="B29" s="52"/>
    </row>
    <row r="30" spans="1:17" x14ac:dyDescent="0.2">
      <c r="A30" s="49"/>
      <c r="B30" s="644" t="s">
        <v>831</v>
      </c>
      <c r="F30" s="667"/>
      <c r="G30" s="49"/>
    </row>
    <row r="31" spans="1:17" ht="15" customHeight="1" x14ac:dyDescent="0.2">
      <c r="B31" s="740" t="s">
        <v>2</v>
      </c>
      <c r="C31" s="740"/>
      <c r="D31" s="740" t="s">
        <v>417</v>
      </c>
      <c r="E31" s="740"/>
      <c r="F31" s="740" t="s">
        <v>418</v>
      </c>
      <c r="G31" s="740"/>
      <c r="H31" s="741" t="s">
        <v>419</v>
      </c>
      <c r="I31" s="741"/>
      <c r="J31" s="741"/>
      <c r="K31" s="741"/>
    </row>
    <row r="32" spans="1:17" x14ac:dyDescent="0.2">
      <c r="B32" s="740"/>
      <c r="C32" s="740"/>
      <c r="D32" s="740"/>
      <c r="E32" s="740"/>
      <c r="F32" s="740"/>
      <c r="G32" s="740"/>
      <c r="H32" s="207" t="s">
        <v>420</v>
      </c>
      <c r="I32" s="207" t="s">
        <v>421</v>
      </c>
      <c r="J32" s="207" t="s">
        <v>422</v>
      </c>
      <c r="K32" s="207" t="s">
        <v>180</v>
      </c>
      <c r="M32" s="651"/>
      <c r="N32" s="651"/>
      <c r="O32" s="651"/>
      <c r="P32" s="651"/>
    </row>
    <row r="33" spans="2:16" ht="15.75" customHeight="1" thickBot="1" x14ac:dyDescent="0.25">
      <c r="B33" s="1031" t="s">
        <v>7</v>
      </c>
      <c r="C33" s="1031"/>
      <c r="D33" s="934">
        <v>11</v>
      </c>
      <c r="E33" s="934"/>
      <c r="F33" s="1047">
        <v>116</v>
      </c>
      <c r="G33" s="1047"/>
      <c r="H33" s="607">
        <v>78</v>
      </c>
      <c r="I33" s="607">
        <v>38</v>
      </c>
      <c r="J33" s="607">
        <v>17</v>
      </c>
      <c r="K33" s="607">
        <v>99</v>
      </c>
      <c r="M33" s="654">
        <f>H33/(H33+I33)</f>
        <v>0.67241379310344829</v>
      </c>
      <c r="N33" s="654"/>
      <c r="O33" s="654">
        <f>J33/(J33+K33)</f>
        <v>0.14655172413793102</v>
      </c>
      <c r="P33" s="654">
        <f>K33/(J33+K33)</f>
        <v>0.85344827586206895</v>
      </c>
    </row>
    <row r="34" spans="2:16" ht="15.75" customHeight="1" thickBot="1" x14ac:dyDescent="0.25">
      <c r="B34" s="1023" t="s">
        <v>462</v>
      </c>
      <c r="C34" s="1023"/>
      <c r="D34" s="841">
        <v>7</v>
      </c>
      <c r="E34" s="841"/>
      <c r="F34" s="841">
        <v>107</v>
      </c>
      <c r="G34" s="841"/>
      <c r="H34" s="442">
        <v>100</v>
      </c>
      <c r="I34" s="442">
        <v>7</v>
      </c>
      <c r="J34" s="442">
        <v>68</v>
      </c>
      <c r="K34" s="442">
        <v>39</v>
      </c>
      <c r="M34" s="654">
        <f>H34/(H34+I34)</f>
        <v>0.93457943925233644</v>
      </c>
      <c r="N34" s="654"/>
      <c r="O34" s="654"/>
      <c r="P34" s="654"/>
    </row>
    <row r="35" spans="2:16" x14ac:dyDescent="0.2">
      <c r="B35" s="925" t="s">
        <v>1483</v>
      </c>
      <c r="C35" s="925"/>
      <c r="E35" s="665">
        <v>11</v>
      </c>
      <c r="F35" s="1046">
        <v>107</v>
      </c>
      <c r="G35" s="1046"/>
      <c r="H35" s="666">
        <v>100</v>
      </c>
      <c r="I35" s="666">
        <v>7</v>
      </c>
      <c r="J35" s="666">
        <v>39</v>
      </c>
      <c r="K35" s="666">
        <v>68</v>
      </c>
      <c r="M35" s="654">
        <f>H35/(H35+I35)</f>
        <v>0.93457943925233644</v>
      </c>
      <c r="N35" s="654"/>
      <c r="O35" s="654">
        <f>J35/(J35+K35)</f>
        <v>0.3644859813084112</v>
      </c>
      <c r="P35" s="654">
        <f>K35/(J35+K35)</f>
        <v>0.63551401869158874</v>
      </c>
    </row>
    <row r="36" spans="2:16" x14ac:dyDescent="0.2">
      <c r="B36" s="40" t="s">
        <v>423</v>
      </c>
      <c r="E36" s="665">
        <v>7</v>
      </c>
      <c r="F36" s="1024">
        <v>97</v>
      </c>
      <c r="G36" s="1024"/>
      <c r="H36" s="653">
        <v>75</v>
      </c>
      <c r="I36" s="653">
        <v>16</v>
      </c>
      <c r="J36" s="653">
        <v>39</v>
      </c>
      <c r="K36" s="653">
        <v>42</v>
      </c>
      <c r="M36" s="654">
        <f>H36/(H36+I36)</f>
        <v>0.82417582417582413</v>
      </c>
      <c r="N36" s="654"/>
      <c r="O36" s="654">
        <f>J36/(J36+K36)</f>
        <v>0.48148148148148145</v>
      </c>
      <c r="P36" s="654">
        <f>K36/(J36+K36)</f>
        <v>0.51851851851851849</v>
      </c>
    </row>
    <row r="37" spans="2:16" x14ac:dyDescent="0.2">
      <c r="B37" s="40"/>
      <c r="E37" s="654"/>
      <c r="F37" s="654"/>
      <c r="G37" s="654"/>
      <c r="H37" s="654"/>
      <c r="I37" s="651"/>
      <c r="J37" s="651"/>
      <c r="K37" s="651"/>
    </row>
    <row r="38" spans="2:16" x14ac:dyDescent="0.2">
      <c r="B38" s="52"/>
      <c r="E38" s="236"/>
      <c r="F38" s="236"/>
      <c r="G38" s="236"/>
      <c r="H38" s="236"/>
    </row>
    <row r="39" spans="2:16" x14ac:dyDescent="0.2">
      <c r="B39" s="166" t="s">
        <v>424</v>
      </c>
      <c r="C39" s="40"/>
      <c r="D39" s="40"/>
    </row>
    <row r="40" spans="2:16" x14ac:dyDescent="0.2">
      <c r="B40" s="46"/>
      <c r="C40" s="40"/>
      <c r="D40" s="40"/>
    </row>
    <row r="41" spans="2:16" x14ac:dyDescent="0.2">
      <c r="B41" s="46" t="s">
        <v>832</v>
      </c>
      <c r="C41" s="40"/>
      <c r="D41" s="40"/>
    </row>
    <row r="42" spans="2:16" x14ac:dyDescent="0.2">
      <c r="B42" s="740" t="s">
        <v>2</v>
      </c>
      <c r="C42" s="740"/>
      <c r="D42" s="741" t="s">
        <v>1171</v>
      </c>
      <c r="E42" s="741"/>
      <c r="F42" s="741"/>
    </row>
    <row r="43" spans="2:16" x14ac:dyDescent="0.2">
      <c r="B43" s="741"/>
      <c r="C43" s="741"/>
      <c r="D43" s="207" t="s">
        <v>425</v>
      </c>
      <c r="E43" s="207" t="s">
        <v>426</v>
      </c>
      <c r="F43" s="207" t="s">
        <v>427</v>
      </c>
    </row>
    <row r="44" spans="2:16" ht="16" thickBot="1" x14ac:dyDescent="0.25">
      <c r="B44" s="1022" t="s">
        <v>7</v>
      </c>
      <c r="C44" s="1022"/>
      <c r="D44" s="636">
        <v>2</v>
      </c>
      <c r="E44" s="636">
        <v>85</v>
      </c>
      <c r="F44" s="587" t="s">
        <v>52</v>
      </c>
      <c r="G44" s="49"/>
    </row>
    <row r="45" spans="2:16" ht="16" thickBot="1" x14ac:dyDescent="0.25">
      <c r="B45" s="1023" t="s">
        <v>462</v>
      </c>
      <c r="C45" s="1023"/>
      <c r="D45" s="586">
        <v>2</v>
      </c>
      <c r="E45" s="635">
        <v>60</v>
      </c>
      <c r="F45" s="586" t="s">
        <v>52</v>
      </c>
    </row>
    <row r="46" spans="2:16" x14ac:dyDescent="0.2">
      <c r="B46" s="925" t="s">
        <v>1483</v>
      </c>
      <c r="C46" s="925"/>
      <c r="D46" s="40"/>
    </row>
    <row r="47" spans="2:16" x14ac:dyDescent="0.2">
      <c r="B47" s="925" t="s">
        <v>428</v>
      </c>
      <c r="C47" s="925"/>
      <c r="D47" s="40"/>
    </row>
    <row r="48" spans="2:16" x14ac:dyDescent="0.2">
      <c r="B48" s="37"/>
      <c r="C48" s="40"/>
      <c r="D48" s="40"/>
    </row>
    <row r="49" spans="1:13" x14ac:dyDescent="0.2">
      <c r="B49" s="40"/>
      <c r="C49" s="40"/>
      <c r="D49" s="40"/>
      <c r="E49" s="53"/>
    </row>
    <row r="50" spans="1:13" x14ac:dyDescent="0.2">
      <c r="B50" s="166" t="s">
        <v>429</v>
      </c>
    </row>
    <row r="51" spans="1:13" x14ac:dyDescent="0.2">
      <c r="B51" s="46"/>
    </row>
    <row r="52" spans="1:13" x14ac:dyDescent="0.2">
      <c r="A52" s="49"/>
      <c r="B52" s="15" t="s">
        <v>833</v>
      </c>
      <c r="C52" s="15"/>
      <c r="D52" s="15"/>
      <c r="G52" s="49"/>
    </row>
    <row r="53" spans="1:13" ht="15" customHeight="1" x14ac:dyDescent="0.2">
      <c r="B53" s="740" t="s">
        <v>2</v>
      </c>
      <c r="C53" s="740"/>
      <c r="D53" s="740" t="s">
        <v>430</v>
      </c>
      <c r="E53" s="740"/>
      <c r="F53" s="740" t="s">
        <v>431</v>
      </c>
      <c r="G53" s="740" t="s">
        <v>432</v>
      </c>
      <c r="H53" s="740"/>
      <c r="I53" s="741" t="s">
        <v>176</v>
      </c>
      <c r="J53" s="741"/>
      <c r="K53" s="741"/>
      <c r="L53" s="741"/>
      <c r="M53" s="741"/>
    </row>
    <row r="54" spans="1:13" x14ac:dyDescent="0.2">
      <c r="B54" s="741"/>
      <c r="C54" s="741"/>
      <c r="D54" s="741"/>
      <c r="E54" s="741"/>
      <c r="F54" s="741"/>
      <c r="G54" s="741"/>
      <c r="H54" s="741"/>
      <c r="I54" s="207" t="s">
        <v>5</v>
      </c>
      <c r="J54" s="207" t="s">
        <v>6</v>
      </c>
      <c r="K54" s="207" t="s">
        <v>912</v>
      </c>
      <c r="L54" s="207" t="s">
        <v>985</v>
      </c>
      <c r="M54" s="207" t="s">
        <v>1169</v>
      </c>
    </row>
    <row r="55" spans="1:13" ht="31.5" customHeight="1" thickBot="1" x14ac:dyDescent="0.25">
      <c r="B55" s="1020" t="s">
        <v>7</v>
      </c>
      <c r="C55" s="1020"/>
      <c r="D55" s="1015" t="s">
        <v>433</v>
      </c>
      <c r="E55" s="1015"/>
      <c r="F55" s="233" t="s">
        <v>434</v>
      </c>
      <c r="G55" s="903" t="s">
        <v>435</v>
      </c>
      <c r="H55" s="903"/>
      <c r="I55" s="233">
        <v>0</v>
      </c>
      <c r="J55" s="233">
        <v>0</v>
      </c>
      <c r="K55" s="233">
        <v>0</v>
      </c>
      <c r="L55" s="233">
        <v>0</v>
      </c>
      <c r="M55" s="599">
        <v>0</v>
      </c>
    </row>
    <row r="56" spans="1:13" ht="31.5" customHeight="1" thickBot="1" x14ac:dyDescent="0.25">
      <c r="B56" s="1020"/>
      <c r="C56" s="1020"/>
      <c r="D56" s="1025" t="s">
        <v>433</v>
      </c>
      <c r="E56" s="1025"/>
      <c r="F56" s="235" t="s">
        <v>434</v>
      </c>
      <c r="G56" s="855" t="s">
        <v>436</v>
      </c>
      <c r="H56" s="855"/>
      <c r="I56" s="235">
        <v>1</v>
      </c>
      <c r="J56" s="235">
        <v>0</v>
      </c>
      <c r="K56" s="235">
        <v>1</v>
      </c>
      <c r="L56" s="235">
        <v>1</v>
      </c>
      <c r="M56" s="600">
        <v>0</v>
      </c>
    </row>
    <row r="57" spans="1:13" ht="31.5" customHeight="1" thickBot="1" x14ac:dyDescent="0.25">
      <c r="B57" s="1020"/>
      <c r="C57" s="1020"/>
      <c r="D57" s="1015" t="s">
        <v>433</v>
      </c>
      <c r="E57" s="1015"/>
      <c r="F57" s="233" t="s">
        <v>437</v>
      </c>
      <c r="G57" s="903" t="s">
        <v>438</v>
      </c>
      <c r="H57" s="903"/>
      <c r="I57" s="233">
        <v>0</v>
      </c>
      <c r="J57" s="233">
        <v>0</v>
      </c>
      <c r="K57" s="233">
        <v>0</v>
      </c>
      <c r="L57" s="233">
        <v>0</v>
      </c>
      <c r="M57" s="599">
        <v>0</v>
      </c>
    </row>
    <row r="58" spans="1:13" ht="26.25" customHeight="1" x14ac:dyDescent="0.2">
      <c r="B58" s="1020"/>
      <c r="C58" s="1020"/>
      <c r="D58" s="1021" t="s">
        <v>439</v>
      </c>
      <c r="E58" s="1021"/>
      <c r="F58" s="156" t="s">
        <v>440</v>
      </c>
      <c r="G58" s="898" t="s">
        <v>441</v>
      </c>
      <c r="H58" s="898"/>
      <c r="I58" s="156">
        <v>0</v>
      </c>
      <c r="J58" s="156">
        <v>1</v>
      </c>
      <c r="K58" s="156">
        <v>0</v>
      </c>
      <c r="L58" s="156">
        <v>0</v>
      </c>
      <c r="M58" s="601">
        <v>0</v>
      </c>
    </row>
    <row r="59" spans="1:13" ht="15.75" customHeight="1" thickBot="1" x14ac:dyDescent="0.25">
      <c r="B59" s="1030" t="s">
        <v>78</v>
      </c>
      <c r="C59" s="1030"/>
      <c r="D59" s="1030"/>
      <c r="E59" s="1030"/>
      <c r="F59" s="1030"/>
      <c r="G59" s="1030"/>
      <c r="H59" s="1030"/>
      <c r="I59" s="237">
        <f>SUM(I55:I58)</f>
        <v>1</v>
      </c>
      <c r="J59" s="237">
        <f>SUM(J55:J58)</f>
        <v>1</v>
      </c>
      <c r="K59" s="237">
        <f>SUM(K55:K58)</f>
        <v>1</v>
      </c>
      <c r="L59" s="237">
        <f t="shared" ref="L59:M59" si="0">SUM(L55:L58)</f>
        <v>1</v>
      </c>
      <c r="M59" s="237">
        <f t="shared" si="0"/>
        <v>0</v>
      </c>
    </row>
    <row r="60" spans="1:13" ht="26.25" customHeight="1" thickBot="1" x14ac:dyDescent="0.25">
      <c r="B60" s="1020" t="s">
        <v>8</v>
      </c>
      <c r="C60" s="1020"/>
      <c r="D60" s="1015" t="s">
        <v>433</v>
      </c>
      <c r="E60" s="1015"/>
      <c r="F60" s="233" t="s">
        <v>652</v>
      </c>
      <c r="G60" s="903" t="s">
        <v>653</v>
      </c>
      <c r="H60" s="903"/>
      <c r="I60" s="233">
        <v>1</v>
      </c>
      <c r="J60" s="233">
        <v>0</v>
      </c>
      <c r="K60" s="233">
        <v>0</v>
      </c>
      <c r="L60" s="233">
        <v>0</v>
      </c>
      <c r="M60" s="599">
        <v>0</v>
      </c>
    </row>
    <row r="61" spans="1:13" ht="26.25" customHeight="1" thickBot="1" x14ac:dyDescent="0.25">
      <c r="B61" s="1020"/>
      <c r="C61" s="1020"/>
      <c r="D61" s="1015" t="s">
        <v>433</v>
      </c>
      <c r="E61" s="1015"/>
      <c r="F61" s="233" t="s">
        <v>652</v>
      </c>
      <c r="G61" s="903" t="s">
        <v>654</v>
      </c>
      <c r="H61" s="903"/>
      <c r="I61" s="233">
        <v>1</v>
      </c>
      <c r="J61" s="233">
        <v>0</v>
      </c>
      <c r="K61" s="233">
        <v>0</v>
      </c>
      <c r="L61" s="233">
        <v>0</v>
      </c>
      <c r="M61" s="599">
        <v>0</v>
      </c>
    </row>
    <row r="62" spans="1:13" ht="36" customHeight="1" thickBot="1" x14ac:dyDescent="0.25">
      <c r="B62" s="1020"/>
      <c r="C62" s="1020"/>
      <c r="D62" s="1015" t="s">
        <v>433</v>
      </c>
      <c r="E62" s="1015"/>
      <c r="F62" s="233" t="s">
        <v>652</v>
      </c>
      <c r="G62" s="903" t="s">
        <v>655</v>
      </c>
      <c r="H62" s="903"/>
      <c r="I62" s="233">
        <v>1</v>
      </c>
      <c r="J62" s="233">
        <v>0</v>
      </c>
      <c r="K62" s="233">
        <v>0</v>
      </c>
      <c r="L62" s="233">
        <v>0</v>
      </c>
      <c r="M62" s="599">
        <v>0</v>
      </c>
    </row>
    <row r="63" spans="1:13" ht="28.5" customHeight="1" thickBot="1" x14ac:dyDescent="0.25">
      <c r="B63" s="1020"/>
      <c r="C63" s="1020"/>
      <c r="D63" s="1015" t="s">
        <v>433</v>
      </c>
      <c r="E63" s="1015"/>
      <c r="F63" s="233" t="s">
        <v>652</v>
      </c>
      <c r="G63" s="903" t="s">
        <v>656</v>
      </c>
      <c r="H63" s="903"/>
      <c r="I63" s="233">
        <v>1</v>
      </c>
      <c r="J63" s="233">
        <v>0</v>
      </c>
      <c r="K63" s="233">
        <v>0</v>
      </c>
      <c r="L63" s="233">
        <v>0</v>
      </c>
      <c r="M63" s="599">
        <v>0</v>
      </c>
    </row>
    <row r="64" spans="1:13" ht="25.5" customHeight="1" thickBot="1" x14ac:dyDescent="0.25">
      <c r="B64" s="1020"/>
      <c r="C64" s="1020"/>
      <c r="D64" s="1015" t="s">
        <v>433</v>
      </c>
      <c r="E64" s="1015"/>
      <c r="F64" s="233" t="s">
        <v>652</v>
      </c>
      <c r="G64" s="903" t="s">
        <v>657</v>
      </c>
      <c r="H64" s="903"/>
      <c r="I64" s="233">
        <v>1</v>
      </c>
      <c r="J64" s="233">
        <v>0</v>
      </c>
      <c r="K64" s="233">
        <v>0</v>
      </c>
      <c r="L64" s="233">
        <v>0</v>
      </c>
      <c r="M64" s="599">
        <v>0</v>
      </c>
    </row>
    <row r="65" spans="2:13" ht="26.25" customHeight="1" x14ac:dyDescent="0.2">
      <c r="B65" s="1020"/>
      <c r="C65" s="1020"/>
      <c r="D65" s="1021" t="s">
        <v>433</v>
      </c>
      <c r="E65" s="1021"/>
      <c r="F65" s="156" t="s">
        <v>434</v>
      </c>
      <c r="G65" s="898" t="s">
        <v>435</v>
      </c>
      <c r="H65" s="898"/>
      <c r="I65" s="156">
        <v>0</v>
      </c>
      <c r="J65" s="156">
        <v>1</v>
      </c>
      <c r="K65" s="156">
        <v>0</v>
      </c>
      <c r="L65" s="156">
        <v>0</v>
      </c>
      <c r="M65" s="601">
        <v>0</v>
      </c>
    </row>
    <row r="66" spans="2:13" ht="15.75" customHeight="1" thickBot="1" x14ac:dyDescent="0.25">
      <c r="B66" s="1030" t="s">
        <v>78</v>
      </c>
      <c r="C66" s="1030"/>
      <c r="D66" s="1030"/>
      <c r="E66" s="1030"/>
      <c r="F66" s="1030"/>
      <c r="G66" s="1030"/>
      <c r="H66" s="1030"/>
      <c r="I66" s="237">
        <f>SUM(I60:I65)</f>
        <v>5</v>
      </c>
      <c r="J66" s="237">
        <f>SUM(J60:J65)</f>
        <v>1</v>
      </c>
      <c r="K66" s="237">
        <f>SUM(K60:K65)</f>
        <v>0</v>
      </c>
      <c r="L66" s="237">
        <f>SUM(L60:L65)</f>
        <v>0</v>
      </c>
      <c r="M66" s="237">
        <f>SUM(M60:M65)</f>
        <v>0</v>
      </c>
    </row>
    <row r="67" spans="2:13" x14ac:dyDescent="0.2">
      <c r="B67" s="925" t="s">
        <v>1483</v>
      </c>
      <c r="C67" s="925"/>
      <c r="F67" s="49"/>
    </row>
    <row r="68" spans="2:13" x14ac:dyDescent="0.2">
      <c r="B68" s="42" t="s">
        <v>442</v>
      </c>
    </row>
    <row r="69" spans="2:13" x14ac:dyDescent="0.2">
      <c r="B69" s="42"/>
    </row>
    <row r="70" spans="2:13" x14ac:dyDescent="0.2">
      <c r="B70" s="37"/>
    </row>
    <row r="71" spans="2:13" x14ac:dyDescent="0.2">
      <c r="B71" s="15" t="s">
        <v>834</v>
      </c>
      <c r="C71" s="15"/>
      <c r="D71" s="15"/>
    </row>
    <row r="72" spans="2:13" x14ac:dyDescent="0.2">
      <c r="B72" s="740" t="s">
        <v>2</v>
      </c>
      <c r="C72" s="740"/>
      <c r="D72" s="740" t="s">
        <v>430</v>
      </c>
      <c r="E72" s="740"/>
      <c r="F72" s="740" t="s">
        <v>431</v>
      </c>
      <c r="G72" s="740" t="s">
        <v>432</v>
      </c>
      <c r="H72" s="740"/>
      <c r="I72" s="741" t="s">
        <v>176</v>
      </c>
      <c r="J72" s="741"/>
      <c r="K72" s="741"/>
      <c r="L72" s="741"/>
      <c r="M72" s="741"/>
    </row>
    <row r="73" spans="2:13" x14ac:dyDescent="0.2">
      <c r="B73" s="741"/>
      <c r="C73" s="741"/>
      <c r="D73" s="741"/>
      <c r="E73" s="741"/>
      <c r="F73" s="741"/>
      <c r="G73" s="741"/>
      <c r="H73" s="741"/>
      <c r="I73" s="207" t="s">
        <v>5</v>
      </c>
      <c r="J73" s="207" t="s">
        <v>6</v>
      </c>
      <c r="K73" s="207" t="s">
        <v>912</v>
      </c>
      <c r="L73" s="207" t="s">
        <v>985</v>
      </c>
      <c r="M73" s="207" t="s">
        <v>1169</v>
      </c>
    </row>
    <row r="74" spans="2:13" ht="31.5" customHeight="1" thickBot="1" x14ac:dyDescent="0.25">
      <c r="B74" s="1026" t="s">
        <v>7</v>
      </c>
      <c r="C74" s="1026"/>
      <c r="D74" s="1027" t="s">
        <v>433</v>
      </c>
      <c r="E74" s="1027"/>
      <c r="F74" s="234" t="s">
        <v>434</v>
      </c>
      <c r="G74" s="1029" t="s">
        <v>436</v>
      </c>
      <c r="H74" s="1029"/>
      <c r="I74" s="234">
        <v>1</v>
      </c>
      <c r="J74" s="234">
        <v>0</v>
      </c>
      <c r="K74" s="234">
        <v>0</v>
      </c>
      <c r="L74" s="234">
        <v>1</v>
      </c>
      <c r="M74" s="234">
        <v>0</v>
      </c>
    </row>
    <row r="75" spans="2:13" ht="31.5" customHeight="1" thickBot="1" x14ac:dyDescent="0.25">
      <c r="B75" s="1026"/>
      <c r="C75" s="1026"/>
      <c r="D75" s="1027" t="s">
        <v>433</v>
      </c>
      <c r="E75" s="1027"/>
      <c r="F75" s="234" t="s">
        <v>434</v>
      </c>
      <c r="G75" s="1029" t="s">
        <v>435</v>
      </c>
      <c r="H75" s="1029"/>
      <c r="I75" s="234">
        <v>1</v>
      </c>
      <c r="J75" s="234">
        <v>0</v>
      </c>
      <c r="K75" s="234">
        <v>0</v>
      </c>
      <c r="L75" s="234">
        <v>1</v>
      </c>
      <c r="M75" s="234">
        <v>0</v>
      </c>
    </row>
    <row r="76" spans="2:13" ht="31.5" customHeight="1" x14ac:dyDescent="0.2">
      <c r="B76" s="1026"/>
      <c r="C76" s="1026"/>
      <c r="D76" s="1021" t="s">
        <v>439</v>
      </c>
      <c r="E76" s="1021"/>
      <c r="F76" s="156" t="s">
        <v>809</v>
      </c>
      <c r="G76" s="898" t="s">
        <v>808</v>
      </c>
      <c r="H76" s="898"/>
      <c r="I76" s="156">
        <v>0</v>
      </c>
      <c r="J76" s="156">
        <v>3</v>
      </c>
      <c r="K76" s="156">
        <v>3</v>
      </c>
      <c r="L76" s="156">
        <v>0</v>
      </c>
      <c r="M76" s="156">
        <v>3</v>
      </c>
    </row>
    <row r="77" spans="2:13" ht="16" thickBot="1" x14ac:dyDescent="0.25">
      <c r="B77" s="1030" t="s">
        <v>78</v>
      </c>
      <c r="C77" s="1030"/>
      <c r="D77" s="1030"/>
      <c r="E77" s="1030"/>
      <c r="F77" s="1030"/>
      <c r="G77" s="1030"/>
      <c r="H77" s="1030"/>
      <c r="I77" s="237">
        <f>SUM(I70:I76)</f>
        <v>2</v>
      </c>
      <c r="J77" s="237">
        <f>SUM(J70:J76)</f>
        <v>3</v>
      </c>
      <c r="K77" s="237">
        <f>SUM(K70:K76)</f>
        <v>3</v>
      </c>
      <c r="L77" s="237">
        <f>SUM(L70:L76)</f>
        <v>2</v>
      </c>
      <c r="M77" s="237">
        <v>3</v>
      </c>
    </row>
    <row r="78" spans="2:13" ht="29.25" customHeight="1" thickBot="1" x14ac:dyDescent="0.25">
      <c r="B78" s="1026" t="s">
        <v>8</v>
      </c>
      <c r="C78" s="1026"/>
      <c r="D78" s="1027" t="s">
        <v>433</v>
      </c>
      <c r="E78" s="1027"/>
      <c r="F78" s="234" t="s">
        <v>434</v>
      </c>
      <c r="G78" s="1028" t="s">
        <v>436</v>
      </c>
      <c r="H78" s="1028"/>
      <c r="I78" s="602">
        <v>0</v>
      </c>
      <c r="J78" s="602">
        <v>0</v>
      </c>
      <c r="K78" s="602">
        <v>0</v>
      </c>
      <c r="L78" s="602">
        <v>0</v>
      </c>
      <c r="M78" s="602">
        <v>2</v>
      </c>
    </row>
    <row r="79" spans="2:13" ht="16" thickBot="1" x14ac:dyDescent="0.25">
      <c r="B79" s="1030" t="s">
        <v>78</v>
      </c>
      <c r="C79" s="1030"/>
      <c r="D79" s="1030"/>
      <c r="E79" s="1030"/>
      <c r="F79" s="1030"/>
      <c r="G79" s="1030"/>
      <c r="H79" s="1030"/>
      <c r="I79" s="237">
        <f>SUM(I78)</f>
        <v>0</v>
      </c>
      <c r="J79" s="237">
        <f>SUM(J78)</f>
        <v>0</v>
      </c>
      <c r="K79" s="237">
        <f>SUM(K78)</f>
        <v>0</v>
      </c>
      <c r="L79" s="237">
        <f>SUM(L78)</f>
        <v>0</v>
      </c>
      <c r="M79" s="237">
        <v>2</v>
      </c>
    </row>
    <row r="80" spans="2:13" x14ac:dyDescent="0.2">
      <c r="B80" s="925" t="s">
        <v>1483</v>
      </c>
      <c r="C80" s="925"/>
      <c r="D80" s="49"/>
    </row>
    <row r="81" spans="2:21" x14ac:dyDescent="0.2">
      <c r="B81" s="45" t="s">
        <v>443</v>
      </c>
      <c r="C81" s="45"/>
    </row>
    <row r="82" spans="2:21" x14ac:dyDescent="0.2">
      <c r="B82" s="37"/>
    </row>
    <row r="83" spans="2:21" x14ac:dyDescent="0.2">
      <c r="B83" s="37"/>
    </row>
    <row r="84" spans="2:21" x14ac:dyDescent="0.2">
      <c r="B84" s="166" t="s">
        <v>665</v>
      </c>
      <c r="G84" s="46"/>
    </row>
    <row r="85" spans="2:21" x14ac:dyDescent="0.2">
      <c r="B85" s="37"/>
      <c r="G85" s="46"/>
    </row>
    <row r="86" spans="2:21" x14ac:dyDescent="0.2">
      <c r="B86" s="46" t="s">
        <v>835</v>
      </c>
      <c r="F86" s="49"/>
    </row>
    <row r="87" spans="2:21" ht="15" customHeight="1" thickBot="1" x14ac:dyDescent="0.25">
      <c r="B87" s="741" t="s">
        <v>2</v>
      </c>
      <c r="C87" s="741"/>
      <c r="D87" s="741" t="s">
        <v>444</v>
      </c>
      <c r="E87" s="741"/>
      <c r="F87" s="741" t="s">
        <v>906</v>
      </c>
      <c r="G87" s="741"/>
      <c r="H87" s="741" t="s">
        <v>907</v>
      </c>
      <c r="I87" s="741"/>
      <c r="J87" s="741" t="s">
        <v>445</v>
      </c>
      <c r="K87" s="741"/>
    </row>
    <row r="88" spans="2:21" ht="20" thickBot="1" x14ac:dyDescent="0.25">
      <c r="B88" s="1048" t="s">
        <v>7</v>
      </c>
      <c r="C88" s="1048"/>
      <c r="D88" s="1015">
        <v>50</v>
      </c>
      <c r="E88" s="1015"/>
      <c r="F88" s="1017">
        <v>1</v>
      </c>
      <c r="G88" s="1017"/>
      <c r="H88" s="1017">
        <v>1</v>
      </c>
      <c r="I88" s="1017"/>
      <c r="J88" s="1017">
        <v>1</v>
      </c>
      <c r="K88" s="1019"/>
      <c r="N88" s="408"/>
      <c r="O88" s="409"/>
      <c r="P88" s="409"/>
      <c r="Q88" s="409"/>
      <c r="R88" s="407"/>
    </row>
    <row r="89" spans="2:21" ht="20" thickBot="1" x14ac:dyDescent="0.25">
      <c r="B89" s="1013" t="s">
        <v>8</v>
      </c>
      <c r="C89" s="1013"/>
      <c r="D89" s="1014">
        <v>62</v>
      </c>
      <c r="E89" s="1014"/>
      <c r="F89" s="1016">
        <v>1</v>
      </c>
      <c r="G89" s="1016"/>
      <c r="H89" s="1016">
        <v>1</v>
      </c>
      <c r="I89" s="1016"/>
      <c r="J89" s="1016">
        <v>0.98429999999999995</v>
      </c>
      <c r="K89" s="1018"/>
      <c r="N89" s="408"/>
      <c r="O89" s="408"/>
      <c r="P89" s="409"/>
      <c r="Q89" s="409"/>
      <c r="R89" s="409"/>
    </row>
    <row r="90" spans="2:21" x14ac:dyDescent="0.2">
      <c r="B90" s="925" t="s">
        <v>1483</v>
      </c>
      <c r="C90" s="925"/>
      <c r="E90" s="413"/>
      <c r="F90" s="2"/>
      <c r="G90" s="668"/>
      <c r="H90" s="2"/>
      <c r="I90" s="2"/>
      <c r="J90" s="2"/>
      <c r="K90" s="2"/>
      <c r="L90" s="413"/>
    </row>
    <row r="91" spans="2:21" x14ac:dyDescent="0.2">
      <c r="B91" s="45" t="s">
        <v>412</v>
      </c>
      <c r="C91" s="45"/>
      <c r="E91" s="669"/>
      <c r="F91" s="2"/>
      <c r="G91" s="2"/>
      <c r="H91" s="2"/>
      <c r="I91" s="2"/>
      <c r="J91" s="2"/>
      <c r="K91" s="2"/>
      <c r="L91" s="413"/>
    </row>
    <row r="92" spans="2:21" x14ac:dyDescent="0.2">
      <c r="B92" s="40"/>
      <c r="C92" s="40"/>
      <c r="D92" s="40"/>
    </row>
    <row r="93" spans="2:21" x14ac:dyDescent="0.2">
      <c r="C93" s="40"/>
      <c r="D93" s="40"/>
    </row>
    <row r="94" spans="2:21" x14ac:dyDescent="0.2">
      <c r="B94" s="46" t="s">
        <v>1063</v>
      </c>
      <c r="H94" t="s">
        <v>930</v>
      </c>
    </row>
    <row r="95" spans="2:21" ht="15" customHeight="1" x14ac:dyDescent="0.2">
      <c r="B95" s="46"/>
      <c r="G95" s="741" t="s">
        <v>908</v>
      </c>
      <c r="H95" s="741"/>
      <c r="I95" s="741"/>
      <c r="J95" s="741"/>
      <c r="K95" s="741"/>
      <c r="L95" s="741" t="s">
        <v>8</v>
      </c>
      <c r="M95" s="741"/>
      <c r="N95" s="741"/>
      <c r="O95" s="741"/>
      <c r="P95" s="741"/>
      <c r="Q95" s="741" t="s">
        <v>1032</v>
      </c>
      <c r="R95" s="741"/>
      <c r="S95" s="741"/>
      <c r="T95" s="741"/>
      <c r="U95" s="741"/>
    </row>
    <row r="96" spans="2:21" ht="33" customHeight="1" x14ac:dyDescent="0.2">
      <c r="B96" s="740" t="s">
        <v>446</v>
      </c>
      <c r="C96" s="740"/>
      <c r="D96" s="740" t="s">
        <v>31</v>
      </c>
      <c r="E96" s="740"/>
      <c r="F96" s="740"/>
      <c r="G96" s="504" t="s">
        <v>29</v>
      </c>
      <c r="H96" s="207" t="s">
        <v>28</v>
      </c>
      <c r="I96" s="207" t="s">
        <v>1008</v>
      </c>
      <c r="J96" s="770" t="s">
        <v>1016</v>
      </c>
      <c r="K96" s="770"/>
      <c r="L96" s="504" t="s">
        <v>29</v>
      </c>
      <c r="M96" s="207" t="s">
        <v>28</v>
      </c>
      <c r="N96" s="207" t="s">
        <v>1008</v>
      </c>
      <c r="O96" s="740" t="s">
        <v>1016</v>
      </c>
      <c r="P96" s="740"/>
      <c r="Q96" s="504" t="s">
        <v>29</v>
      </c>
      <c r="R96" s="207" t="s">
        <v>28</v>
      </c>
      <c r="S96" s="207" t="s">
        <v>1008</v>
      </c>
      <c r="T96" s="740" t="s">
        <v>1016</v>
      </c>
      <c r="U96" s="740"/>
    </row>
    <row r="97" spans="1:29" s="431" customFormat="1" ht="15" customHeight="1" x14ac:dyDescent="0.15">
      <c r="B97" s="1009" t="s">
        <v>454</v>
      </c>
      <c r="C97" s="1009"/>
      <c r="D97" s="1009"/>
      <c r="E97" s="1009"/>
      <c r="F97" s="1009"/>
      <c r="G97" s="432">
        <v>6</v>
      </c>
      <c r="H97" s="507">
        <v>18</v>
      </c>
      <c r="I97" s="507">
        <v>2</v>
      </c>
      <c r="J97" s="1009">
        <f>SUM(G97:I97)</f>
        <v>26</v>
      </c>
      <c r="K97" s="1009"/>
      <c r="L97" s="432"/>
      <c r="M97" s="507"/>
      <c r="N97" s="507"/>
      <c r="O97" s="1009">
        <f>SUM(L97:N97)</f>
        <v>0</v>
      </c>
      <c r="P97" s="1009"/>
      <c r="Q97" s="432"/>
      <c r="R97" s="507"/>
      <c r="S97" s="507"/>
      <c r="T97" s="1009">
        <f>SUM(Q97:S97)</f>
        <v>0</v>
      </c>
      <c r="U97" s="1009"/>
    </row>
    <row r="98" spans="1:29" ht="42" customHeight="1" thickBot="1" x14ac:dyDescent="0.25">
      <c r="B98" s="1049" t="s">
        <v>1260</v>
      </c>
      <c r="C98" s="1049"/>
      <c r="D98" s="1051" t="s">
        <v>452</v>
      </c>
      <c r="E98" s="1051"/>
      <c r="F98" s="1051"/>
      <c r="G98" s="531" t="s">
        <v>1058</v>
      </c>
      <c r="H98" s="532" t="s">
        <v>1015</v>
      </c>
      <c r="I98" s="532" t="s">
        <v>1045</v>
      </c>
      <c r="J98" s="1052" t="s">
        <v>459</v>
      </c>
      <c r="K98" s="1052"/>
      <c r="L98" s="531" t="s">
        <v>1261</v>
      </c>
      <c r="M98" s="532" t="s">
        <v>1060</v>
      </c>
      <c r="N98" s="532" t="s">
        <v>52</v>
      </c>
      <c r="O98" s="1053" t="s">
        <v>1262</v>
      </c>
      <c r="P98" s="1053"/>
      <c r="Q98" s="531" t="s">
        <v>460</v>
      </c>
      <c r="R98" s="532" t="s">
        <v>1045</v>
      </c>
      <c r="S98" s="532" t="s">
        <v>52</v>
      </c>
      <c r="T98" s="1053" t="s">
        <v>1044</v>
      </c>
      <c r="U98" s="1053"/>
    </row>
    <row r="99" spans="1:29" ht="42" customHeight="1" thickBot="1" x14ac:dyDescent="0.25">
      <c r="B99" s="1049"/>
      <c r="C99" s="1049"/>
      <c r="D99" s="1051" t="s">
        <v>659</v>
      </c>
      <c r="E99" s="1051"/>
      <c r="F99" s="1051"/>
      <c r="G99" s="531" t="s">
        <v>460</v>
      </c>
      <c r="H99" s="532" t="s">
        <v>1015</v>
      </c>
      <c r="I99" s="532" t="s">
        <v>1045</v>
      </c>
      <c r="J99" s="1052" t="s">
        <v>1264</v>
      </c>
      <c r="K99" s="1052"/>
      <c r="L99" s="531" t="s">
        <v>1265</v>
      </c>
      <c r="M99" s="532" t="s">
        <v>459</v>
      </c>
      <c r="N99" s="532" t="s">
        <v>52</v>
      </c>
      <c r="O99" s="1053" t="s">
        <v>1266</v>
      </c>
      <c r="P99" s="1053"/>
      <c r="Q99" s="531" t="s">
        <v>460</v>
      </c>
      <c r="R99" s="532" t="s">
        <v>460</v>
      </c>
      <c r="S99" s="532" t="s">
        <v>52</v>
      </c>
      <c r="T99" s="1053" t="s">
        <v>460</v>
      </c>
      <c r="U99" s="1053"/>
    </row>
    <row r="100" spans="1:29" ht="42" customHeight="1" thickBot="1" x14ac:dyDescent="0.25">
      <c r="B100" s="1050"/>
      <c r="C100" s="1050"/>
      <c r="D100" s="1054" t="s">
        <v>1268</v>
      </c>
      <c r="E100" s="1054"/>
      <c r="F100" s="1054"/>
      <c r="G100" s="533">
        <v>6</v>
      </c>
      <c r="H100" s="534">
        <v>7.22</v>
      </c>
      <c r="I100" s="535">
        <v>5.5</v>
      </c>
      <c r="J100" s="1055">
        <v>6.84</v>
      </c>
      <c r="K100" s="1055"/>
      <c r="L100" s="533">
        <v>6.87</v>
      </c>
      <c r="M100" s="535">
        <v>7.6</v>
      </c>
      <c r="N100" s="535" t="s">
        <v>52</v>
      </c>
      <c r="O100" s="1056">
        <v>7.09</v>
      </c>
      <c r="P100" s="1056"/>
      <c r="Q100" s="533">
        <v>9</v>
      </c>
      <c r="R100" s="535">
        <v>7</v>
      </c>
      <c r="S100" s="535" t="s">
        <v>52</v>
      </c>
      <c r="T100" s="1056">
        <v>7.67</v>
      </c>
      <c r="U100" s="1056"/>
    </row>
    <row r="101" spans="1:29" ht="27.75" customHeight="1" thickBot="1" x14ac:dyDescent="0.25">
      <c r="B101" s="1049"/>
      <c r="C101" s="1049"/>
      <c r="D101" s="1059" t="s">
        <v>658</v>
      </c>
      <c r="E101" s="1059"/>
      <c r="F101" s="1059"/>
      <c r="G101" s="539" t="s">
        <v>460</v>
      </c>
      <c r="H101" s="536" t="s">
        <v>1269</v>
      </c>
      <c r="I101" s="536" t="s">
        <v>52</v>
      </c>
      <c r="J101" s="1060" t="s">
        <v>1270</v>
      </c>
      <c r="K101" s="1060"/>
      <c r="L101" s="539" t="s">
        <v>1271</v>
      </c>
      <c r="M101" s="536" t="s">
        <v>1272</v>
      </c>
      <c r="N101" s="536" t="s">
        <v>52</v>
      </c>
      <c r="O101" s="1060" t="s">
        <v>1273</v>
      </c>
      <c r="P101" s="1060"/>
      <c r="Q101" s="539" t="s">
        <v>460</v>
      </c>
      <c r="R101" s="536" t="s">
        <v>460</v>
      </c>
      <c r="S101" s="536" t="s">
        <v>52</v>
      </c>
      <c r="T101" s="1060" t="s">
        <v>460</v>
      </c>
      <c r="U101" s="1060"/>
    </row>
    <row r="102" spans="1:29" ht="31.5" customHeight="1" thickBot="1" x14ac:dyDescent="0.25">
      <c r="A102" s="472"/>
      <c r="B102" s="1049"/>
      <c r="C102" s="1049"/>
      <c r="D102" s="1059" t="s">
        <v>1013</v>
      </c>
      <c r="E102" s="1059"/>
      <c r="F102" s="1059"/>
      <c r="G102" s="537">
        <v>7.8</v>
      </c>
      <c r="H102" s="538">
        <v>7.82</v>
      </c>
      <c r="I102" s="536">
        <v>7</v>
      </c>
      <c r="J102" s="1058">
        <v>7.59</v>
      </c>
      <c r="K102" s="1058"/>
      <c r="L102" s="537">
        <v>8.36</v>
      </c>
      <c r="M102" s="538">
        <v>8.33</v>
      </c>
      <c r="N102" s="536" t="s">
        <v>52</v>
      </c>
      <c r="O102" s="1061">
        <v>8.4600000000000009</v>
      </c>
      <c r="P102" s="1061"/>
      <c r="Q102" s="539">
        <v>10</v>
      </c>
      <c r="R102" s="538">
        <v>9.5</v>
      </c>
      <c r="S102" s="536" t="s">
        <v>52</v>
      </c>
      <c r="T102" s="1058">
        <v>9.67</v>
      </c>
      <c r="U102" s="1058"/>
    </row>
    <row r="103" spans="1:29" ht="15" customHeight="1" thickBot="1" x14ac:dyDescent="0.25">
      <c r="B103" s="1049"/>
      <c r="C103" s="1049"/>
      <c r="D103" s="1057" t="s">
        <v>1014</v>
      </c>
      <c r="E103" s="1057"/>
      <c r="F103" s="1057"/>
      <c r="G103" s="537">
        <v>7.2</v>
      </c>
      <c r="H103" s="538">
        <v>6.36</v>
      </c>
      <c r="I103" s="536" t="s">
        <v>52</v>
      </c>
      <c r="J103" s="1058">
        <v>6.24</v>
      </c>
      <c r="K103" s="1058"/>
      <c r="L103" s="537">
        <v>8.09</v>
      </c>
      <c r="M103" s="538">
        <v>7.5</v>
      </c>
      <c r="N103" s="536" t="s">
        <v>52</v>
      </c>
      <c r="O103" s="1058">
        <v>8.08</v>
      </c>
      <c r="P103" s="1058"/>
      <c r="Q103" s="539">
        <v>10</v>
      </c>
      <c r="R103" s="538">
        <v>8.5</v>
      </c>
      <c r="S103" s="536"/>
      <c r="T103" s="1058">
        <v>8.67</v>
      </c>
      <c r="U103" s="1058"/>
    </row>
    <row r="104" spans="1:29" s="431" customFormat="1" ht="15" customHeight="1" x14ac:dyDescent="0.15">
      <c r="B104" s="1009" t="s">
        <v>454</v>
      </c>
      <c r="C104" s="1009"/>
      <c r="D104" s="1009"/>
      <c r="E104" s="1009"/>
      <c r="F104" s="1009"/>
      <c r="G104" s="432">
        <v>55</v>
      </c>
      <c r="H104" s="507">
        <v>153</v>
      </c>
      <c r="I104" s="507">
        <v>3</v>
      </c>
      <c r="J104" s="1009">
        <f>SUM(G104:I104)</f>
        <v>211</v>
      </c>
      <c r="K104" s="1009"/>
      <c r="L104" s="432">
        <v>263</v>
      </c>
      <c r="M104" s="507">
        <v>243</v>
      </c>
      <c r="N104" s="507">
        <v>4</v>
      </c>
      <c r="O104" s="1009">
        <f>SUM(L104:N104)</f>
        <v>510</v>
      </c>
      <c r="P104" s="1009"/>
      <c r="Q104" s="432">
        <v>19</v>
      </c>
      <c r="R104" s="507">
        <v>46</v>
      </c>
      <c r="S104" s="507">
        <v>1</v>
      </c>
      <c r="T104" s="1009">
        <f>SUM(Q104:S104)</f>
        <v>66</v>
      </c>
      <c r="U104" s="1009"/>
    </row>
    <row r="105" spans="1:29" ht="52.5" customHeight="1" thickBot="1" x14ac:dyDescent="0.25">
      <c r="A105" s="1062"/>
      <c r="B105" s="1049" t="s">
        <v>447</v>
      </c>
      <c r="C105" s="1049"/>
      <c r="D105" s="979" t="s">
        <v>448</v>
      </c>
      <c r="E105" s="979"/>
      <c r="F105" s="979"/>
      <c r="G105" s="540">
        <v>7.84</v>
      </c>
      <c r="H105" s="541">
        <v>8.25</v>
      </c>
      <c r="I105" s="532">
        <v>9</v>
      </c>
      <c r="J105" s="1063">
        <v>8.16</v>
      </c>
      <c r="K105" s="1063"/>
      <c r="L105" s="540">
        <v>8</v>
      </c>
      <c r="M105" s="541">
        <v>8.42</v>
      </c>
      <c r="N105" s="541">
        <v>7</v>
      </c>
      <c r="O105" s="1063">
        <v>8.19</v>
      </c>
      <c r="P105" s="1063"/>
      <c r="Q105" s="540">
        <v>7.63</v>
      </c>
      <c r="R105" s="541">
        <v>7.87</v>
      </c>
      <c r="S105" s="532">
        <v>0</v>
      </c>
      <c r="T105" s="1063">
        <v>7.68</v>
      </c>
      <c r="U105" s="1063"/>
      <c r="W105" s="530"/>
      <c r="X105" s="530"/>
      <c r="AB105" s="530"/>
      <c r="AC105" s="530"/>
    </row>
    <row r="106" spans="1:29" ht="42" customHeight="1" thickBot="1" x14ac:dyDescent="0.25">
      <c r="A106" s="834"/>
      <c r="B106" s="1049"/>
      <c r="C106" s="1049"/>
      <c r="D106" s="1057" t="s">
        <v>449</v>
      </c>
      <c r="E106" s="1057"/>
      <c r="F106" s="1057"/>
      <c r="G106" s="537">
        <v>7.78</v>
      </c>
      <c r="H106" s="538">
        <v>8.0500000000000007</v>
      </c>
      <c r="I106" s="536">
        <v>9</v>
      </c>
      <c r="J106" s="1058">
        <v>7.99</v>
      </c>
      <c r="K106" s="1058"/>
      <c r="L106" s="537">
        <v>8.01</v>
      </c>
      <c r="M106" s="538">
        <v>8.31</v>
      </c>
      <c r="N106" s="538">
        <v>7.5</v>
      </c>
      <c r="O106" s="1064">
        <v>8.15</v>
      </c>
      <c r="P106" s="1064"/>
      <c r="Q106" s="537">
        <v>7.53</v>
      </c>
      <c r="R106" s="538">
        <v>7.65</v>
      </c>
      <c r="S106" s="536">
        <v>0</v>
      </c>
      <c r="T106" s="1052">
        <v>7.5</v>
      </c>
      <c r="U106" s="1052"/>
      <c r="W106" s="530"/>
      <c r="X106" s="530"/>
      <c r="AB106" s="530"/>
      <c r="AC106" s="530"/>
    </row>
    <row r="107" spans="1:29" ht="52.5" customHeight="1" thickBot="1" x14ac:dyDescent="0.25">
      <c r="A107" s="834"/>
      <c r="B107" s="1049"/>
      <c r="C107" s="1049"/>
      <c r="D107" s="1057" t="s">
        <v>450</v>
      </c>
      <c r="E107" s="1057"/>
      <c r="F107" s="1057"/>
      <c r="G107" s="537">
        <v>8.0399999999999991</v>
      </c>
      <c r="H107" s="538">
        <v>8.4600000000000009</v>
      </c>
      <c r="I107" s="538">
        <v>8.67</v>
      </c>
      <c r="J107" s="1058">
        <v>8.35</v>
      </c>
      <c r="K107" s="1058"/>
      <c r="L107" s="537">
        <v>8.2100000000000009</v>
      </c>
      <c r="M107" s="538">
        <v>7.91</v>
      </c>
      <c r="N107" s="538">
        <v>6.75</v>
      </c>
      <c r="O107" s="1064">
        <v>8.0500000000000007</v>
      </c>
      <c r="P107" s="1064"/>
      <c r="Q107" s="537">
        <v>7.26</v>
      </c>
      <c r="R107" s="538">
        <v>7.61</v>
      </c>
      <c r="S107" s="536">
        <v>0</v>
      </c>
      <c r="T107" s="1064">
        <v>7.39</v>
      </c>
      <c r="U107" s="1064"/>
      <c r="W107" s="530"/>
      <c r="X107" s="530"/>
      <c r="AB107" s="530"/>
      <c r="AC107" s="530"/>
    </row>
    <row r="108" spans="1:29" ht="42" customHeight="1" thickBot="1" x14ac:dyDescent="0.25">
      <c r="A108" s="834"/>
      <c r="B108" s="1050"/>
      <c r="C108" s="1050"/>
      <c r="D108" s="1065" t="s">
        <v>451</v>
      </c>
      <c r="E108" s="1065"/>
      <c r="F108" s="1065"/>
      <c r="G108" s="542">
        <v>7.62</v>
      </c>
      <c r="H108" s="534">
        <v>8.49</v>
      </c>
      <c r="I108" s="534">
        <v>8</v>
      </c>
      <c r="J108" s="1055">
        <v>8.26</v>
      </c>
      <c r="K108" s="1055"/>
      <c r="L108" s="542">
        <v>8.1</v>
      </c>
      <c r="M108" s="534">
        <v>7.78</v>
      </c>
      <c r="N108" s="534">
        <v>6.75</v>
      </c>
      <c r="O108" s="1056">
        <v>7.94</v>
      </c>
      <c r="P108" s="1056"/>
      <c r="Q108" s="542">
        <v>7.37</v>
      </c>
      <c r="R108" s="543">
        <v>7.52</v>
      </c>
      <c r="S108" s="543">
        <v>0</v>
      </c>
      <c r="T108" s="1056">
        <v>7.36</v>
      </c>
      <c r="U108" s="1056"/>
      <c r="W108" s="530"/>
      <c r="X108" s="530"/>
      <c r="AB108" s="530"/>
      <c r="AC108" s="530"/>
    </row>
    <row r="109" spans="1:29" ht="15" customHeight="1" x14ac:dyDescent="0.2">
      <c r="B109" s="925" t="s">
        <v>1483</v>
      </c>
      <c r="C109" s="925"/>
      <c r="L109" s="238"/>
      <c r="M109" s="238"/>
      <c r="N109" s="238"/>
      <c r="O109" s="19"/>
    </row>
    <row r="110" spans="1:29" x14ac:dyDescent="0.2">
      <c r="B110" s="45" t="s">
        <v>453</v>
      </c>
      <c r="L110" s="779"/>
      <c r="M110" s="779"/>
      <c r="N110" s="779"/>
      <c r="O110" s="779"/>
    </row>
    <row r="111" spans="1:29" x14ac:dyDescent="0.2">
      <c r="B111" s="45" t="s">
        <v>1472</v>
      </c>
      <c r="R111" s="13"/>
    </row>
    <row r="112" spans="1:29" x14ac:dyDescent="0.2">
      <c r="B112" s="45" t="s">
        <v>1473</v>
      </c>
      <c r="M112" s="13"/>
      <c r="O112" s="13"/>
      <c r="P112" s="13"/>
    </row>
    <row r="113" spans="1:29" x14ac:dyDescent="0.2">
      <c r="B113" s="37"/>
      <c r="L113" s="779"/>
      <c r="M113" s="779"/>
      <c r="N113" s="779"/>
      <c r="O113" s="779"/>
    </row>
    <row r="114" spans="1:29" x14ac:dyDescent="0.2">
      <c r="B114" s="37"/>
      <c r="L114" s="779"/>
      <c r="M114" s="779"/>
      <c r="N114" s="779"/>
      <c r="O114" s="779"/>
    </row>
    <row r="115" spans="1:29" x14ac:dyDescent="0.2">
      <c r="B115" s="46"/>
      <c r="H115" s="779"/>
      <c r="I115" s="779"/>
      <c r="L115" s="779"/>
      <c r="M115" s="779"/>
      <c r="N115" s="779"/>
      <c r="O115" s="779"/>
    </row>
    <row r="116" spans="1:29" ht="15" customHeight="1" x14ac:dyDescent="0.2">
      <c r="A116" s="210"/>
      <c r="B116" s="1069" t="s">
        <v>911</v>
      </c>
      <c r="C116" s="1069"/>
      <c r="D116" s="1069"/>
      <c r="E116" s="1069"/>
      <c r="F116" s="1069"/>
      <c r="G116" s="1069"/>
      <c r="H116" s="1069"/>
      <c r="I116" s="1069"/>
      <c r="J116" t="s">
        <v>930</v>
      </c>
      <c r="L116" s="779"/>
      <c r="M116" s="779"/>
      <c r="N116" s="779"/>
      <c r="O116" s="779"/>
    </row>
    <row r="117" spans="1:29" x14ac:dyDescent="0.2">
      <c r="B117" s="1043" t="s">
        <v>2</v>
      </c>
      <c r="C117" s="1043"/>
      <c r="D117" s="506" t="s">
        <v>456</v>
      </c>
      <c r="E117" s="506" t="s">
        <v>336</v>
      </c>
      <c r="F117" s="506" t="s">
        <v>454</v>
      </c>
      <c r="L117" s="779"/>
      <c r="M117" s="779"/>
      <c r="N117" s="779"/>
      <c r="O117" s="779"/>
    </row>
    <row r="118" spans="1:29" ht="15" customHeight="1" thickBot="1" x14ac:dyDescent="0.25">
      <c r="B118" s="1044" t="s">
        <v>7</v>
      </c>
      <c r="C118" s="1044"/>
      <c r="D118" s="246">
        <v>70</v>
      </c>
      <c r="E118" s="246">
        <f>G126</f>
        <v>1</v>
      </c>
      <c r="F118" s="242">
        <f>E118/D118</f>
        <v>1.4285714285714285E-2</v>
      </c>
      <c r="J118" s="670"/>
      <c r="L118" s="779"/>
      <c r="M118" s="779"/>
      <c r="N118" s="779"/>
      <c r="O118" s="779"/>
    </row>
    <row r="119" spans="1:29" ht="15" customHeight="1" thickBot="1" x14ac:dyDescent="0.25">
      <c r="B119" s="1005" t="s">
        <v>8</v>
      </c>
      <c r="C119" s="1005"/>
      <c r="D119" s="289">
        <v>81</v>
      </c>
      <c r="E119" s="289">
        <f>K126</f>
        <v>11</v>
      </c>
      <c r="F119" s="242">
        <f>E119/D119</f>
        <v>0.13580246913580246</v>
      </c>
      <c r="J119" s="670"/>
      <c r="L119" s="13"/>
      <c r="M119" s="13"/>
      <c r="N119" s="13"/>
      <c r="O119" s="13"/>
    </row>
    <row r="120" spans="1:29" ht="15" customHeight="1" thickBot="1" x14ac:dyDescent="0.25">
      <c r="B120" s="1006" t="s">
        <v>1030</v>
      </c>
      <c r="C120" s="1006"/>
      <c r="D120" s="269">
        <v>11</v>
      </c>
      <c r="E120" s="269">
        <f>O126</f>
        <v>1</v>
      </c>
      <c r="F120" s="243">
        <f>E120/D120</f>
        <v>9.0909090909090912E-2</v>
      </c>
      <c r="J120" s="6"/>
      <c r="L120" s="779"/>
      <c r="M120" s="779"/>
      <c r="N120" s="779"/>
      <c r="O120" s="779"/>
    </row>
    <row r="121" spans="1:29" ht="15" customHeight="1" x14ac:dyDescent="0.2">
      <c r="B121" s="241"/>
      <c r="C121" s="241"/>
      <c r="D121" s="544"/>
      <c r="E121" s="239"/>
      <c r="L121" s="13"/>
      <c r="M121" s="13"/>
      <c r="N121" s="13"/>
      <c r="O121" s="13"/>
    </row>
    <row r="122" spans="1:29" x14ac:dyDescent="0.2">
      <c r="B122" s="37"/>
      <c r="C122" s="231"/>
      <c r="D122" s="231"/>
      <c r="H122" s="13"/>
      <c r="L122" s="779"/>
      <c r="M122" s="779"/>
      <c r="N122" s="779"/>
      <c r="O122" s="779"/>
    </row>
    <row r="123" spans="1:29" ht="15" customHeight="1" x14ac:dyDescent="0.2">
      <c r="B123" s="232"/>
      <c r="D123" s="1012" t="s">
        <v>455</v>
      </c>
      <c r="E123" s="1012"/>
      <c r="F123" s="1012"/>
      <c r="G123" s="1012"/>
      <c r="H123" s="1012"/>
      <c r="I123" s="1012"/>
      <c r="J123" s="1012"/>
      <c r="K123" s="1012"/>
      <c r="L123" s="1012"/>
      <c r="M123" s="1012"/>
      <c r="N123" s="1012"/>
      <c r="O123" s="1012"/>
    </row>
    <row r="124" spans="1:29" ht="19.5" customHeight="1" x14ac:dyDescent="0.2">
      <c r="B124" s="1012" t="s">
        <v>1031</v>
      </c>
      <c r="C124" s="1012"/>
      <c r="D124" s="741" t="s">
        <v>7</v>
      </c>
      <c r="E124" s="741"/>
      <c r="F124" s="741"/>
      <c r="G124" s="741"/>
      <c r="H124" s="741" t="s">
        <v>8</v>
      </c>
      <c r="I124" s="741"/>
      <c r="J124" s="741"/>
      <c r="K124" s="741"/>
      <c r="L124" s="741" t="s">
        <v>1026</v>
      </c>
      <c r="M124" s="741"/>
      <c r="N124" s="741"/>
      <c r="O124" s="741"/>
    </row>
    <row r="125" spans="1:29" ht="24" customHeight="1" x14ac:dyDescent="0.2">
      <c r="B125" s="1012"/>
      <c r="C125" s="1012"/>
      <c r="D125" s="207" t="s">
        <v>849</v>
      </c>
      <c r="E125" s="207" t="s">
        <v>850</v>
      </c>
      <c r="F125" s="207" t="s">
        <v>1008</v>
      </c>
      <c r="G125" s="207" t="s">
        <v>1016</v>
      </c>
      <c r="H125" s="504" t="s">
        <v>849</v>
      </c>
      <c r="I125" s="207" t="s">
        <v>850</v>
      </c>
      <c r="J125" s="207" t="s">
        <v>1008</v>
      </c>
      <c r="K125" s="207" t="s">
        <v>1016</v>
      </c>
      <c r="L125" s="504" t="s">
        <v>849</v>
      </c>
      <c r="M125" s="207" t="s">
        <v>850</v>
      </c>
      <c r="N125" s="207" t="s">
        <v>1008</v>
      </c>
      <c r="O125" s="207" t="s">
        <v>1016</v>
      </c>
    </row>
    <row r="126" spans="1:29" ht="18" customHeight="1" x14ac:dyDescent="0.2">
      <c r="B126" s="1009" t="s">
        <v>454</v>
      </c>
      <c r="C126" s="1009"/>
      <c r="D126" s="507">
        <v>0</v>
      </c>
      <c r="E126" s="507">
        <v>1</v>
      </c>
      <c r="F126" s="507">
        <v>0</v>
      </c>
      <c r="G126" s="507">
        <f>SUM(D126:F126)</f>
        <v>1</v>
      </c>
      <c r="H126" s="432">
        <v>8</v>
      </c>
      <c r="I126" s="507">
        <v>3</v>
      </c>
      <c r="J126" s="507">
        <v>0</v>
      </c>
      <c r="K126" s="507">
        <f>SUM(H126:J126)</f>
        <v>11</v>
      </c>
      <c r="L126" s="432">
        <v>0</v>
      </c>
      <c r="M126" s="507">
        <v>1</v>
      </c>
      <c r="N126" s="507">
        <v>0</v>
      </c>
      <c r="O126" s="507">
        <f>SUM(L126:N126)</f>
        <v>1</v>
      </c>
    </row>
    <row r="127" spans="1:29" ht="70.5" customHeight="1" thickBot="1" x14ac:dyDescent="0.25">
      <c r="B127" s="1011" t="s">
        <v>1033</v>
      </c>
      <c r="C127" s="1011"/>
      <c r="D127" s="437" t="s">
        <v>52</v>
      </c>
      <c r="E127" s="437" t="s">
        <v>1042</v>
      </c>
      <c r="F127" s="437" t="s">
        <v>52</v>
      </c>
      <c r="G127" s="521" t="s">
        <v>1042</v>
      </c>
      <c r="H127" s="545" t="s">
        <v>1049</v>
      </c>
      <c r="I127" s="437" t="s">
        <v>1042</v>
      </c>
      <c r="J127" s="437" t="s">
        <v>52</v>
      </c>
      <c r="K127" s="521" t="s">
        <v>1043</v>
      </c>
      <c r="L127" s="545" t="s">
        <v>52</v>
      </c>
      <c r="M127" s="437" t="s">
        <v>1042</v>
      </c>
      <c r="N127" s="437" t="s">
        <v>52</v>
      </c>
      <c r="O127" s="521" t="s">
        <v>1042</v>
      </c>
      <c r="R127" s="212"/>
      <c r="S127" s="212"/>
      <c r="T127" s="212"/>
      <c r="U127" s="213"/>
      <c r="V127" s="212"/>
      <c r="W127" s="212"/>
      <c r="X127" s="212"/>
      <c r="Y127" s="213"/>
      <c r="Z127" s="212"/>
      <c r="AA127" s="212"/>
      <c r="AB127" s="212"/>
      <c r="AC127" s="213"/>
    </row>
    <row r="128" spans="1:29" ht="45.75" customHeight="1" thickBot="1" x14ac:dyDescent="0.25">
      <c r="B128" s="1011" t="s">
        <v>1034</v>
      </c>
      <c r="C128" s="1011"/>
      <c r="D128" s="522" t="s">
        <v>52</v>
      </c>
      <c r="E128" s="522" t="s">
        <v>1019</v>
      </c>
      <c r="F128" s="217" t="s">
        <v>52</v>
      </c>
      <c r="G128" s="524" t="s">
        <v>1019</v>
      </c>
      <c r="H128" s="671" t="s">
        <v>1019</v>
      </c>
      <c r="I128" s="522" t="s">
        <v>1019</v>
      </c>
      <c r="J128" s="217" t="s">
        <v>52</v>
      </c>
      <c r="K128" s="524" t="s">
        <v>1019</v>
      </c>
      <c r="L128" s="671" t="s">
        <v>52</v>
      </c>
      <c r="M128" s="522" t="s">
        <v>460</v>
      </c>
      <c r="N128" s="522" t="s">
        <v>52</v>
      </c>
      <c r="O128" s="524" t="s">
        <v>460</v>
      </c>
      <c r="R128" s="658"/>
      <c r="S128" s="658"/>
      <c r="T128" s="212"/>
      <c r="U128" s="659"/>
      <c r="V128" s="658"/>
      <c r="W128" s="658"/>
      <c r="X128" s="212"/>
      <c r="Y128" s="659"/>
      <c r="Z128" s="658"/>
      <c r="AA128" s="658"/>
      <c r="AB128" s="658"/>
      <c r="AC128" s="659"/>
    </row>
    <row r="129" spans="2:29" ht="48" customHeight="1" thickBot="1" x14ac:dyDescent="0.25">
      <c r="B129" s="1011" t="s">
        <v>1035</v>
      </c>
      <c r="C129" s="1011"/>
      <c r="D129" s="522" t="s">
        <v>52</v>
      </c>
      <c r="E129" s="522" t="s">
        <v>460</v>
      </c>
      <c r="F129" s="217" t="s">
        <v>52</v>
      </c>
      <c r="G129" s="524" t="s">
        <v>460</v>
      </c>
      <c r="H129" s="671" t="s">
        <v>460</v>
      </c>
      <c r="I129" s="522" t="s">
        <v>460</v>
      </c>
      <c r="J129" s="217" t="s">
        <v>52</v>
      </c>
      <c r="K129" s="524" t="s">
        <v>460</v>
      </c>
      <c r="L129" s="672" t="s">
        <v>52</v>
      </c>
      <c r="M129" s="525" t="s">
        <v>460</v>
      </c>
      <c r="N129" s="522" t="s">
        <v>52</v>
      </c>
      <c r="O129" s="524" t="s">
        <v>460</v>
      </c>
      <c r="R129" s="658"/>
      <c r="S129" s="658"/>
      <c r="T129" s="212"/>
      <c r="U129" s="659"/>
      <c r="V129" s="658"/>
      <c r="W129" s="658"/>
      <c r="X129" s="212"/>
      <c r="Y129" s="659"/>
      <c r="Z129" s="658"/>
      <c r="AA129" s="658"/>
      <c r="AB129" s="658"/>
      <c r="AC129" s="659"/>
    </row>
    <row r="130" spans="2:29" ht="45.75" customHeight="1" thickBot="1" x14ac:dyDescent="0.25">
      <c r="B130" s="1011" t="s">
        <v>1036</v>
      </c>
      <c r="C130" s="1011"/>
      <c r="D130" s="522" t="s">
        <v>52</v>
      </c>
      <c r="E130" s="522" t="s">
        <v>460</v>
      </c>
      <c r="F130" s="217" t="s">
        <v>52</v>
      </c>
      <c r="G130" s="524" t="s">
        <v>460</v>
      </c>
      <c r="H130" s="671" t="s">
        <v>1051</v>
      </c>
      <c r="I130" s="522" t="s">
        <v>460</v>
      </c>
      <c r="J130" s="217" t="s">
        <v>52</v>
      </c>
      <c r="K130" s="524" t="s">
        <v>1017</v>
      </c>
      <c r="L130" s="672" t="s">
        <v>52</v>
      </c>
      <c r="M130" s="525" t="s">
        <v>460</v>
      </c>
      <c r="N130" s="522" t="s">
        <v>52</v>
      </c>
      <c r="O130" s="524" t="s">
        <v>460</v>
      </c>
      <c r="R130" s="658"/>
      <c r="S130" s="658"/>
      <c r="T130" s="212"/>
      <c r="U130" s="659"/>
      <c r="V130" s="658"/>
      <c r="W130" s="658"/>
      <c r="X130" s="212"/>
      <c r="Y130" s="659"/>
      <c r="Z130" s="658"/>
      <c r="AA130" s="658"/>
      <c r="AB130" s="658"/>
      <c r="AC130" s="659"/>
    </row>
    <row r="131" spans="2:29" ht="45.75" customHeight="1" thickBot="1" x14ac:dyDescent="0.25">
      <c r="B131" s="1011" t="s">
        <v>1037</v>
      </c>
      <c r="C131" s="1011"/>
      <c r="D131" s="522" t="s">
        <v>52</v>
      </c>
      <c r="E131" s="522" t="s">
        <v>460</v>
      </c>
      <c r="F131" s="217" t="s">
        <v>52</v>
      </c>
      <c r="G131" s="524" t="s">
        <v>460</v>
      </c>
      <c r="H131" s="672" t="s">
        <v>1275</v>
      </c>
      <c r="I131" s="525" t="s">
        <v>460</v>
      </c>
      <c r="J131" s="217" t="s">
        <v>52</v>
      </c>
      <c r="K131" s="524" t="s">
        <v>1018</v>
      </c>
      <c r="L131" s="672" t="s">
        <v>52</v>
      </c>
      <c r="M131" s="525" t="s">
        <v>460</v>
      </c>
      <c r="N131" s="522" t="s">
        <v>52</v>
      </c>
      <c r="O131" s="524" t="s">
        <v>460</v>
      </c>
      <c r="R131" s="658"/>
      <c r="S131" s="658"/>
      <c r="T131" s="212"/>
      <c r="U131" s="659"/>
      <c r="V131" s="658"/>
      <c r="W131" s="658"/>
      <c r="X131" s="212"/>
      <c r="Y131" s="659"/>
      <c r="Z131" s="658"/>
      <c r="AA131" s="658"/>
      <c r="AB131" s="658"/>
      <c r="AC131" s="659"/>
    </row>
    <row r="132" spans="2:29" ht="47.25" customHeight="1" thickBot="1" x14ac:dyDescent="0.25">
      <c r="B132" s="1011" t="s">
        <v>1038</v>
      </c>
      <c r="C132" s="1011"/>
      <c r="D132" s="522" t="s">
        <v>52</v>
      </c>
      <c r="E132" s="522" t="s">
        <v>1019</v>
      </c>
      <c r="F132" s="217" t="s">
        <v>52</v>
      </c>
      <c r="G132" s="524" t="s">
        <v>1019</v>
      </c>
      <c r="H132" s="672" t="s">
        <v>460</v>
      </c>
      <c r="I132" s="525" t="s">
        <v>661</v>
      </c>
      <c r="J132" s="217" t="s">
        <v>52</v>
      </c>
      <c r="K132" s="524" t="s">
        <v>1046</v>
      </c>
      <c r="L132" s="672" t="s">
        <v>52</v>
      </c>
      <c r="M132" s="525" t="s">
        <v>1019</v>
      </c>
      <c r="N132" s="522" t="s">
        <v>52</v>
      </c>
      <c r="O132" s="524" t="s">
        <v>1019</v>
      </c>
      <c r="R132" s="658"/>
      <c r="S132" s="658"/>
      <c r="T132" s="212"/>
      <c r="U132" s="659"/>
      <c r="V132" s="658"/>
      <c r="W132" s="658"/>
      <c r="X132" s="212"/>
      <c r="Y132" s="659"/>
      <c r="Z132" s="658"/>
      <c r="AA132" s="658"/>
      <c r="AB132" s="658"/>
      <c r="AC132" s="659"/>
    </row>
    <row r="133" spans="2:29" ht="30" customHeight="1" thickBot="1" x14ac:dyDescent="0.25">
      <c r="B133" s="1011" t="s">
        <v>1039</v>
      </c>
      <c r="C133" s="1011"/>
      <c r="D133" s="522" t="s">
        <v>52</v>
      </c>
      <c r="E133" s="522" t="s">
        <v>52</v>
      </c>
      <c r="F133" s="217" t="s">
        <v>52</v>
      </c>
      <c r="G133" s="524" t="s">
        <v>52</v>
      </c>
      <c r="H133" s="672" t="s">
        <v>1276</v>
      </c>
      <c r="I133" s="525" t="s">
        <v>1277</v>
      </c>
      <c r="J133" s="217" t="s">
        <v>52</v>
      </c>
      <c r="K133" s="524" t="s">
        <v>1278</v>
      </c>
      <c r="L133" s="672" t="s">
        <v>52</v>
      </c>
      <c r="M133" s="525" t="s">
        <v>52</v>
      </c>
      <c r="N133" s="522" t="s">
        <v>52</v>
      </c>
      <c r="O133" s="524" t="s">
        <v>52</v>
      </c>
      <c r="R133" s="658"/>
      <c r="S133" s="658"/>
      <c r="T133" s="212"/>
      <c r="U133" s="659"/>
      <c r="V133" s="658"/>
      <c r="W133" s="658"/>
      <c r="X133" s="212"/>
      <c r="Y133" s="659"/>
      <c r="Z133" s="658"/>
      <c r="AA133" s="658"/>
      <c r="AB133" s="658"/>
      <c r="AC133" s="659"/>
    </row>
    <row r="134" spans="2:29" ht="39" customHeight="1" thickBot="1" x14ac:dyDescent="0.25">
      <c r="B134" s="1011" t="s">
        <v>1040</v>
      </c>
      <c r="C134" s="1011"/>
      <c r="D134" s="522" t="s">
        <v>52</v>
      </c>
      <c r="E134" s="522" t="s">
        <v>52</v>
      </c>
      <c r="F134" s="217" t="s">
        <v>52</v>
      </c>
      <c r="G134" s="524" t="s">
        <v>52</v>
      </c>
      <c r="H134" s="672" t="s">
        <v>1279</v>
      </c>
      <c r="I134" s="525" t="s">
        <v>1280</v>
      </c>
      <c r="J134" s="217" t="s">
        <v>52</v>
      </c>
      <c r="K134" s="524" t="s">
        <v>1281</v>
      </c>
      <c r="L134" s="672" t="s">
        <v>52</v>
      </c>
      <c r="M134" s="525" t="s">
        <v>52</v>
      </c>
      <c r="N134" s="522" t="s">
        <v>52</v>
      </c>
      <c r="O134" s="524" t="s">
        <v>52</v>
      </c>
      <c r="R134" s="658"/>
      <c r="S134" s="658"/>
      <c r="T134" s="212"/>
      <c r="U134" s="659"/>
      <c r="V134" s="658"/>
      <c r="W134" s="658"/>
      <c r="X134" s="212"/>
      <c r="Y134" s="659"/>
      <c r="Z134" s="658"/>
      <c r="AA134" s="658"/>
      <c r="AB134" s="658"/>
      <c r="AC134" s="659"/>
    </row>
    <row r="135" spans="2:29" ht="65.25" customHeight="1" thickBot="1" x14ac:dyDescent="0.25">
      <c r="B135" s="999" t="s">
        <v>1041</v>
      </c>
      <c r="C135" s="999"/>
      <c r="D135" s="522" t="s">
        <v>52</v>
      </c>
      <c r="E135" s="522">
        <v>4</v>
      </c>
      <c r="F135" s="217" t="s">
        <v>52</v>
      </c>
      <c r="G135" s="524">
        <v>4</v>
      </c>
      <c r="H135" s="672">
        <v>3.25</v>
      </c>
      <c r="I135" s="525">
        <v>3.67</v>
      </c>
      <c r="J135" s="217" t="s">
        <v>52</v>
      </c>
      <c r="K135" s="524">
        <v>3.36</v>
      </c>
      <c r="L135" s="673" t="s">
        <v>52</v>
      </c>
      <c r="M135" s="525">
        <v>3</v>
      </c>
      <c r="N135" s="522" t="s">
        <v>52</v>
      </c>
      <c r="O135" s="524">
        <v>3</v>
      </c>
      <c r="R135" s="658"/>
      <c r="S135" s="658"/>
      <c r="T135" s="212"/>
      <c r="U135" s="659"/>
      <c r="V135" s="658"/>
      <c r="W135" s="658"/>
      <c r="X135" s="212"/>
      <c r="Y135" s="659"/>
      <c r="Z135" s="681"/>
      <c r="AA135" s="658"/>
      <c r="AB135" s="658"/>
      <c r="AC135" s="659"/>
    </row>
    <row r="136" spans="2:29" ht="39" customHeight="1" thickBot="1" x14ac:dyDescent="0.25">
      <c r="B136" s="999" t="s">
        <v>1282</v>
      </c>
      <c r="C136" s="999"/>
      <c r="D136" s="522" t="s">
        <v>52</v>
      </c>
      <c r="E136" s="522" t="s">
        <v>460</v>
      </c>
      <c r="F136" s="217" t="s">
        <v>52</v>
      </c>
      <c r="G136" s="524" t="s">
        <v>460</v>
      </c>
      <c r="H136" s="672" t="s">
        <v>1283</v>
      </c>
      <c r="I136" s="525" t="s">
        <v>661</v>
      </c>
      <c r="J136" s="217" t="s">
        <v>52</v>
      </c>
      <c r="K136" s="524" t="s">
        <v>1046</v>
      </c>
      <c r="L136" s="672" t="s">
        <v>52</v>
      </c>
      <c r="M136" s="525" t="s">
        <v>1019</v>
      </c>
      <c r="N136" s="522" t="s">
        <v>52</v>
      </c>
      <c r="O136" s="524" t="s">
        <v>1019</v>
      </c>
      <c r="R136" s="658"/>
      <c r="S136" s="658"/>
      <c r="T136" s="212"/>
      <c r="U136" s="659"/>
      <c r="V136" s="658"/>
      <c r="W136" s="658"/>
      <c r="X136" s="212"/>
      <c r="Y136" s="659"/>
      <c r="Z136" s="658"/>
      <c r="AA136" s="658"/>
      <c r="AB136" s="658"/>
      <c r="AC136" s="659"/>
    </row>
    <row r="137" spans="2:29" ht="58.5" customHeight="1" thickBot="1" x14ac:dyDescent="0.25">
      <c r="B137" s="1011" t="s">
        <v>1284</v>
      </c>
      <c r="C137" s="1011"/>
      <c r="D137" s="522" t="s">
        <v>52</v>
      </c>
      <c r="E137" s="522">
        <v>10</v>
      </c>
      <c r="F137" s="217" t="s">
        <v>52</v>
      </c>
      <c r="G137" s="524">
        <v>10</v>
      </c>
      <c r="H137" s="672">
        <v>9.33</v>
      </c>
      <c r="I137" s="674">
        <v>7</v>
      </c>
      <c r="J137" s="217" t="s">
        <v>52</v>
      </c>
      <c r="K137" s="524">
        <v>8.75</v>
      </c>
      <c r="L137" s="673" t="s">
        <v>52</v>
      </c>
      <c r="M137" s="525" t="s">
        <v>52</v>
      </c>
      <c r="N137" s="522" t="s">
        <v>52</v>
      </c>
      <c r="O137" s="675" t="s">
        <v>52</v>
      </c>
      <c r="R137" s="658"/>
      <c r="S137" s="658"/>
      <c r="T137" s="212"/>
      <c r="U137" s="659"/>
      <c r="V137" s="658"/>
      <c r="W137" s="681"/>
      <c r="X137" s="212"/>
      <c r="Y137" s="659"/>
      <c r="Z137" s="681"/>
      <c r="AA137" s="658"/>
      <c r="AB137" s="658"/>
      <c r="AC137" s="682"/>
    </row>
    <row r="138" spans="2:29" ht="38.25" customHeight="1" thickBot="1" x14ac:dyDescent="0.25">
      <c r="B138" s="1011" t="s">
        <v>1285</v>
      </c>
      <c r="C138" s="1011"/>
      <c r="D138" s="522" t="s">
        <v>52</v>
      </c>
      <c r="E138" s="522" t="s">
        <v>460</v>
      </c>
      <c r="F138" s="217" t="s">
        <v>52</v>
      </c>
      <c r="G138" s="524" t="s">
        <v>460</v>
      </c>
      <c r="H138" s="672" t="s">
        <v>460</v>
      </c>
      <c r="I138" s="525" t="s">
        <v>460</v>
      </c>
      <c r="J138" s="217" t="s">
        <v>52</v>
      </c>
      <c r="K138" s="524" t="s">
        <v>460</v>
      </c>
      <c r="L138" s="672" t="s">
        <v>52</v>
      </c>
      <c r="M138" s="525" t="s">
        <v>460</v>
      </c>
      <c r="N138" s="522" t="s">
        <v>52</v>
      </c>
      <c r="O138" s="524" t="s">
        <v>460</v>
      </c>
      <c r="R138" s="658"/>
      <c r="S138" s="658"/>
      <c r="T138" s="212"/>
      <c r="U138" s="659"/>
      <c r="V138" s="658"/>
      <c r="W138" s="658"/>
      <c r="X138" s="212"/>
      <c r="Y138" s="659"/>
      <c r="Z138" s="658"/>
      <c r="AA138" s="658"/>
      <c r="AB138" s="658"/>
      <c r="AC138" s="659"/>
    </row>
    <row r="139" spans="2:29" ht="27.75" customHeight="1" thickBot="1" x14ac:dyDescent="0.25">
      <c r="B139" s="1011" t="s">
        <v>1286</v>
      </c>
      <c r="C139" s="1011"/>
      <c r="D139" s="676" t="s">
        <v>52</v>
      </c>
      <c r="E139" s="522">
        <v>10</v>
      </c>
      <c r="F139" s="217" t="s">
        <v>52</v>
      </c>
      <c r="G139" s="524">
        <v>10</v>
      </c>
      <c r="H139" s="672">
        <v>6.63</v>
      </c>
      <c r="I139" s="525">
        <v>7.67</v>
      </c>
      <c r="J139" s="217" t="s">
        <v>52</v>
      </c>
      <c r="K139" s="524">
        <v>6.91</v>
      </c>
      <c r="L139" s="673" t="s">
        <v>52</v>
      </c>
      <c r="M139" s="525">
        <v>9</v>
      </c>
      <c r="N139" s="522" t="s">
        <v>52</v>
      </c>
      <c r="O139" s="524">
        <v>9</v>
      </c>
      <c r="R139" s="681"/>
      <c r="S139" s="658"/>
      <c r="T139" s="212"/>
      <c r="U139" s="659"/>
      <c r="V139" s="658"/>
      <c r="W139" s="658"/>
      <c r="X139" s="212"/>
      <c r="Y139" s="659"/>
      <c r="Z139" s="681"/>
      <c r="AA139" s="658"/>
      <c r="AB139" s="658"/>
      <c r="AC139" s="659"/>
    </row>
    <row r="140" spans="2:29" ht="39" customHeight="1" thickBot="1" x14ac:dyDescent="0.25">
      <c r="B140" s="998" t="s">
        <v>1287</v>
      </c>
      <c r="C140" s="998"/>
      <c r="D140" s="677" t="s">
        <v>52</v>
      </c>
      <c r="E140" s="677">
        <v>10</v>
      </c>
      <c r="F140" s="546" t="s">
        <v>52</v>
      </c>
      <c r="G140" s="678">
        <v>10</v>
      </c>
      <c r="H140" s="679">
        <v>6.5</v>
      </c>
      <c r="I140" s="677">
        <v>8.33</v>
      </c>
      <c r="J140" s="546" t="s">
        <v>52</v>
      </c>
      <c r="K140" s="678">
        <v>7</v>
      </c>
      <c r="L140" s="680" t="s">
        <v>52</v>
      </c>
      <c r="M140" s="677">
        <v>7</v>
      </c>
      <c r="N140" s="677" t="s">
        <v>52</v>
      </c>
      <c r="O140" s="678">
        <v>7</v>
      </c>
      <c r="R140" s="658"/>
      <c r="S140" s="658"/>
      <c r="T140" s="212"/>
      <c r="U140" s="659"/>
      <c r="V140" s="658"/>
      <c r="W140" s="658"/>
      <c r="X140" s="212"/>
      <c r="Y140" s="659"/>
      <c r="Z140" s="681"/>
      <c r="AA140" s="658"/>
      <c r="AB140" s="658"/>
      <c r="AC140" s="659"/>
    </row>
    <row r="141" spans="2:29" x14ac:dyDescent="0.2">
      <c r="B141" s="925" t="s">
        <v>1483</v>
      </c>
      <c r="C141" s="925"/>
      <c r="D141" s="240"/>
      <c r="E141" s="240"/>
    </row>
    <row r="142" spans="2:29" x14ac:dyDescent="0.2">
      <c r="B142" s="45" t="s">
        <v>457</v>
      </c>
      <c r="C142" s="45"/>
      <c r="D142" s="45"/>
      <c r="E142" s="45"/>
    </row>
    <row r="143" spans="2:29" x14ac:dyDescent="0.2">
      <c r="B143" s="40"/>
      <c r="C143" s="40"/>
      <c r="D143" s="40"/>
      <c r="E143" s="40"/>
    </row>
    <row r="144" spans="2:29" x14ac:dyDescent="0.2">
      <c r="B144" s="40"/>
      <c r="C144" s="40"/>
      <c r="D144" s="40"/>
      <c r="E144" s="40"/>
    </row>
    <row r="145" spans="1:29" x14ac:dyDescent="0.2">
      <c r="A145" s="1066"/>
      <c r="B145" s="1067" t="s">
        <v>836</v>
      </c>
      <c r="C145" s="1067"/>
      <c r="D145" s="1067"/>
      <c r="E145" s="1067"/>
      <c r="F145" s="1067"/>
      <c r="G145" s="1067"/>
      <c r="H145" s="1067"/>
      <c r="I145" t="s">
        <v>930</v>
      </c>
    </row>
    <row r="146" spans="1:29" x14ac:dyDescent="0.2">
      <c r="A146" s="1066"/>
      <c r="B146" s="1043" t="s">
        <v>2</v>
      </c>
      <c r="C146" s="1043"/>
      <c r="D146" s="506" t="s">
        <v>456</v>
      </c>
      <c r="E146" s="506" t="s">
        <v>336</v>
      </c>
      <c r="F146" s="506" t="s">
        <v>454</v>
      </c>
      <c r="L146" s="779"/>
      <c r="M146" s="779"/>
      <c r="N146" s="779"/>
      <c r="O146" s="779"/>
    </row>
    <row r="147" spans="1:29" ht="15" customHeight="1" thickBot="1" x14ac:dyDescent="0.25">
      <c r="A147" s="1066"/>
      <c r="B147" s="1044" t="s">
        <v>7</v>
      </c>
      <c r="C147" s="1044"/>
      <c r="D147" s="246">
        <f>55+45</f>
        <v>100</v>
      </c>
      <c r="E147" s="246">
        <f>G154</f>
        <v>22</v>
      </c>
      <c r="F147" s="242">
        <f>E147/D147</f>
        <v>0.22</v>
      </c>
      <c r="H147" s="650"/>
      <c r="I147" s="650"/>
      <c r="J147" s="683"/>
      <c r="L147" s="779"/>
      <c r="M147" s="779"/>
      <c r="N147" s="779"/>
      <c r="O147" s="779"/>
    </row>
    <row r="148" spans="1:29" ht="15" customHeight="1" thickBot="1" x14ac:dyDescent="0.25">
      <c r="A148" s="1066"/>
      <c r="B148" s="1005" t="s">
        <v>8</v>
      </c>
      <c r="C148" s="1005"/>
      <c r="D148" s="289">
        <f>68+40</f>
        <v>108</v>
      </c>
      <c r="E148" s="289">
        <f>K154</f>
        <v>11</v>
      </c>
      <c r="F148" s="242">
        <f>E148/D148</f>
        <v>0.10185185185185185</v>
      </c>
      <c r="H148" s="650"/>
      <c r="I148" s="650"/>
      <c r="J148" s="683"/>
      <c r="L148" s="13"/>
      <c r="M148" s="13"/>
      <c r="N148" s="13"/>
      <c r="O148" s="13"/>
    </row>
    <row r="149" spans="1:29" ht="15" customHeight="1" thickBot="1" x14ac:dyDescent="0.25">
      <c r="A149" s="1066"/>
      <c r="B149" s="1006" t="s">
        <v>1030</v>
      </c>
      <c r="C149" s="1006"/>
      <c r="D149" s="269">
        <v>7</v>
      </c>
      <c r="E149" s="269">
        <f>O154</f>
        <v>2</v>
      </c>
      <c r="F149" s="243">
        <f>E149/D149</f>
        <v>0.2857142857142857</v>
      </c>
      <c r="H149" s="650"/>
      <c r="I149" s="650"/>
      <c r="J149" s="683"/>
      <c r="L149" s="779"/>
      <c r="M149" s="779"/>
      <c r="N149" s="779"/>
      <c r="O149" s="779"/>
    </row>
    <row r="150" spans="1:29" x14ac:dyDescent="0.2">
      <c r="B150" s="40"/>
      <c r="C150" s="40"/>
      <c r="D150" s="544"/>
      <c r="E150" s="40"/>
    </row>
    <row r="151" spans="1:29" ht="15" customHeight="1" x14ac:dyDescent="0.2">
      <c r="B151" s="232"/>
      <c r="D151" s="1012" t="s">
        <v>455</v>
      </c>
      <c r="E151" s="1012"/>
      <c r="F151" s="1012"/>
      <c r="G151" s="1012"/>
      <c r="H151" s="1012"/>
      <c r="I151" s="1012"/>
      <c r="J151" s="1012"/>
      <c r="K151" s="1012"/>
      <c r="L151" s="1012"/>
      <c r="M151" s="1012"/>
      <c r="N151" s="1012"/>
      <c r="O151" s="1012"/>
    </row>
    <row r="152" spans="1:29" ht="18.75" customHeight="1" x14ac:dyDescent="0.2">
      <c r="B152" s="1012" t="s">
        <v>1031</v>
      </c>
      <c r="C152" s="1012"/>
      <c r="D152" s="741" t="s">
        <v>7</v>
      </c>
      <c r="E152" s="741"/>
      <c r="F152" s="741"/>
      <c r="G152" s="741"/>
      <c r="H152" s="741" t="s">
        <v>8</v>
      </c>
      <c r="I152" s="741"/>
      <c r="J152" s="741"/>
      <c r="K152" s="741"/>
      <c r="L152" s="741" t="s">
        <v>1026</v>
      </c>
      <c r="M152" s="741"/>
      <c r="N152" s="741"/>
      <c r="O152" s="741"/>
    </row>
    <row r="153" spans="1:29" ht="24.75" customHeight="1" x14ac:dyDescent="0.2">
      <c r="B153" s="1012"/>
      <c r="C153" s="1012"/>
      <c r="D153" s="207" t="s">
        <v>849</v>
      </c>
      <c r="E153" s="207" t="s">
        <v>850</v>
      </c>
      <c r="F153" s="207" t="s">
        <v>1008</v>
      </c>
      <c r="G153" s="207" t="s">
        <v>1016</v>
      </c>
      <c r="H153" s="504" t="s">
        <v>849</v>
      </c>
      <c r="I153" s="207" t="s">
        <v>850</v>
      </c>
      <c r="J153" s="207" t="s">
        <v>1008</v>
      </c>
      <c r="K153" s="207" t="s">
        <v>1016</v>
      </c>
      <c r="L153" s="504" t="s">
        <v>849</v>
      </c>
      <c r="M153" s="207" t="s">
        <v>850</v>
      </c>
      <c r="N153" s="207" t="s">
        <v>1008</v>
      </c>
      <c r="O153" s="207" t="s">
        <v>1016</v>
      </c>
    </row>
    <row r="154" spans="1:29" ht="17.25" customHeight="1" x14ac:dyDescent="0.2">
      <c r="B154" s="1009" t="s">
        <v>454</v>
      </c>
      <c r="C154" s="1009"/>
      <c r="D154" s="507">
        <v>4</v>
      </c>
      <c r="E154" s="507">
        <v>17</v>
      </c>
      <c r="F154" s="507">
        <v>1</v>
      </c>
      <c r="G154" s="507">
        <f>SUM(D154:F154)</f>
        <v>22</v>
      </c>
      <c r="H154" s="432">
        <v>7</v>
      </c>
      <c r="I154" s="507">
        <v>4</v>
      </c>
      <c r="J154" s="507">
        <v>0</v>
      </c>
      <c r="K154" s="507">
        <f>SUM(H154:J154)</f>
        <v>11</v>
      </c>
      <c r="L154" s="432">
        <v>1</v>
      </c>
      <c r="M154" s="507">
        <v>1</v>
      </c>
      <c r="N154" s="507">
        <v>0</v>
      </c>
      <c r="O154" s="507">
        <f>SUM(L154:N154)</f>
        <v>2</v>
      </c>
    </row>
    <row r="155" spans="1:29" ht="99.75" customHeight="1" thickBot="1" x14ac:dyDescent="0.25">
      <c r="B155" s="1011" t="s">
        <v>1052</v>
      </c>
      <c r="C155" s="1011"/>
      <c r="D155" s="437" t="s">
        <v>1288</v>
      </c>
      <c r="E155" s="437" t="s">
        <v>1289</v>
      </c>
      <c r="F155" s="437" t="s">
        <v>1057</v>
      </c>
      <c r="G155" s="521" t="s">
        <v>1290</v>
      </c>
      <c r="H155" s="545" t="s">
        <v>1291</v>
      </c>
      <c r="I155" s="437" t="s">
        <v>1061</v>
      </c>
      <c r="J155" s="437" t="s">
        <v>52</v>
      </c>
      <c r="K155" s="521" t="s">
        <v>1292</v>
      </c>
      <c r="L155" s="545" t="s">
        <v>1061</v>
      </c>
      <c r="M155" s="437" t="s">
        <v>1057</v>
      </c>
      <c r="N155" s="437" t="s">
        <v>52</v>
      </c>
      <c r="O155" s="437" t="s">
        <v>1293</v>
      </c>
      <c r="R155" s="212"/>
      <c r="S155" s="212"/>
      <c r="T155" s="212"/>
      <c r="U155" s="213"/>
      <c r="V155" s="212"/>
      <c r="W155" s="212"/>
      <c r="X155" s="212"/>
      <c r="Y155" s="213"/>
      <c r="Z155" s="212"/>
      <c r="AA155" s="212"/>
      <c r="AB155" s="212"/>
      <c r="AC155" s="213"/>
    </row>
    <row r="156" spans="1:29" ht="39" customHeight="1" thickBot="1" x14ac:dyDescent="0.25">
      <c r="B156" s="999" t="s">
        <v>1294</v>
      </c>
      <c r="C156" s="999"/>
      <c r="D156" s="617" t="s">
        <v>1051</v>
      </c>
      <c r="E156" s="617" t="s">
        <v>1295</v>
      </c>
      <c r="F156" s="617" t="s">
        <v>1019</v>
      </c>
      <c r="G156" s="684" t="s">
        <v>1296</v>
      </c>
      <c r="H156" s="685" t="s">
        <v>1297</v>
      </c>
      <c r="I156" s="617" t="s">
        <v>1019</v>
      </c>
      <c r="J156" s="617" t="s">
        <v>52</v>
      </c>
      <c r="K156" s="684" t="s">
        <v>1298</v>
      </c>
      <c r="L156" s="685" t="s">
        <v>1019</v>
      </c>
      <c r="M156" s="617" t="s">
        <v>1019</v>
      </c>
      <c r="N156" s="617" t="s">
        <v>52</v>
      </c>
      <c r="O156" s="684" t="s">
        <v>1019</v>
      </c>
      <c r="R156" s="658"/>
      <c r="S156" s="658"/>
      <c r="T156" s="212"/>
      <c r="U156" s="659"/>
      <c r="V156" s="658"/>
      <c r="W156" s="658"/>
      <c r="X156" s="212"/>
      <c r="Y156" s="659"/>
      <c r="Z156" s="658"/>
      <c r="AA156" s="658"/>
      <c r="AB156" s="658"/>
      <c r="AC156" s="659"/>
    </row>
    <row r="157" spans="1:29" ht="39" customHeight="1" thickBot="1" x14ac:dyDescent="0.25">
      <c r="B157" s="999" t="s">
        <v>1299</v>
      </c>
      <c r="C157" s="999"/>
      <c r="D157" s="617" t="s">
        <v>460</v>
      </c>
      <c r="E157" s="617" t="s">
        <v>1300</v>
      </c>
      <c r="F157" s="617" t="s">
        <v>460</v>
      </c>
      <c r="G157" s="684" t="s">
        <v>1301</v>
      </c>
      <c r="H157" s="685" t="s">
        <v>1297</v>
      </c>
      <c r="I157" s="617" t="s">
        <v>1019</v>
      </c>
      <c r="J157" s="617" t="s">
        <v>52</v>
      </c>
      <c r="K157" s="684" t="s">
        <v>1298</v>
      </c>
      <c r="L157" s="685" t="s">
        <v>1019</v>
      </c>
      <c r="M157" s="617" t="s">
        <v>460</v>
      </c>
      <c r="N157" s="617" t="s">
        <v>52</v>
      </c>
      <c r="O157" s="684" t="s">
        <v>1045</v>
      </c>
      <c r="R157" s="658"/>
      <c r="S157" s="658"/>
      <c r="T157" s="212"/>
      <c r="U157" s="659"/>
      <c r="V157" s="658"/>
      <c r="W157" s="658"/>
      <c r="X157" s="212"/>
      <c r="Y157" s="659"/>
      <c r="Z157" s="658"/>
      <c r="AA157" s="658"/>
      <c r="AB157" s="658"/>
      <c r="AC157" s="659"/>
    </row>
    <row r="158" spans="1:29" ht="48.75" customHeight="1" thickBot="1" x14ac:dyDescent="0.25">
      <c r="B158" s="1011" t="s">
        <v>1053</v>
      </c>
      <c r="C158" s="1011"/>
      <c r="D158" s="522" t="s">
        <v>460</v>
      </c>
      <c r="E158" s="522" t="s">
        <v>1302</v>
      </c>
      <c r="F158" s="217" t="s">
        <v>1019</v>
      </c>
      <c r="G158" s="524" t="s">
        <v>1018</v>
      </c>
      <c r="H158" s="671" t="s">
        <v>1303</v>
      </c>
      <c r="I158" s="522" t="s">
        <v>662</v>
      </c>
      <c r="J158" s="217" t="s">
        <v>52</v>
      </c>
      <c r="K158" s="524" t="s">
        <v>1296</v>
      </c>
      <c r="L158" s="671" t="s">
        <v>460</v>
      </c>
      <c r="M158" s="522" t="s">
        <v>460</v>
      </c>
      <c r="N158" s="217" t="s">
        <v>52</v>
      </c>
      <c r="O158" s="524" t="s">
        <v>460</v>
      </c>
      <c r="R158" s="658"/>
      <c r="S158" s="658"/>
      <c r="T158" s="212"/>
      <c r="U158" s="659"/>
      <c r="V158" s="658"/>
      <c r="W158" s="658"/>
      <c r="X158" s="212"/>
      <c r="Y158" s="659"/>
      <c r="Z158" s="658"/>
      <c r="AA158" s="658"/>
      <c r="AB158" s="658"/>
      <c r="AC158" s="659"/>
    </row>
    <row r="159" spans="1:29" ht="30.75" customHeight="1" thickBot="1" x14ac:dyDescent="0.25">
      <c r="B159" s="1011" t="s">
        <v>1054</v>
      </c>
      <c r="C159" s="1011"/>
      <c r="D159" s="522" t="s">
        <v>1304</v>
      </c>
      <c r="E159" s="522" t="s">
        <v>1305</v>
      </c>
      <c r="F159" s="686" t="s">
        <v>52</v>
      </c>
      <c r="G159" s="524" t="s">
        <v>1306</v>
      </c>
      <c r="H159" s="671" t="s">
        <v>1307</v>
      </c>
      <c r="I159" s="522" t="s">
        <v>1276</v>
      </c>
      <c r="J159" s="217" t="s">
        <v>52</v>
      </c>
      <c r="K159" s="524" t="s">
        <v>1278</v>
      </c>
      <c r="L159" s="672" t="s">
        <v>1047</v>
      </c>
      <c r="M159" s="525" t="s">
        <v>1047</v>
      </c>
      <c r="N159" s="217" t="s">
        <v>52</v>
      </c>
      <c r="O159" s="524" t="s">
        <v>1047</v>
      </c>
      <c r="R159" s="658"/>
      <c r="S159" s="658"/>
      <c r="T159" s="688"/>
      <c r="U159" s="659"/>
      <c r="V159" s="658"/>
      <c r="W159" s="658"/>
      <c r="X159" s="212"/>
      <c r="Y159" s="659"/>
      <c r="Z159" s="658"/>
      <c r="AA159" s="658"/>
      <c r="AB159" s="658"/>
      <c r="AC159" s="659"/>
    </row>
    <row r="160" spans="1:29" ht="38.25" customHeight="1" thickBot="1" x14ac:dyDescent="0.25">
      <c r="B160" s="999" t="s">
        <v>1055</v>
      </c>
      <c r="C160" s="999"/>
      <c r="D160" s="522" t="s">
        <v>1045</v>
      </c>
      <c r="E160" s="522" t="s">
        <v>1300</v>
      </c>
      <c r="F160" s="217" t="s">
        <v>52</v>
      </c>
      <c r="G160" s="524" t="s">
        <v>1048</v>
      </c>
      <c r="H160" s="671" t="s">
        <v>1308</v>
      </c>
      <c r="I160" s="522" t="s">
        <v>1279</v>
      </c>
      <c r="J160" s="217" t="s">
        <v>52</v>
      </c>
      <c r="K160" s="524" t="s">
        <v>1309</v>
      </c>
      <c r="L160" s="672" t="s">
        <v>460</v>
      </c>
      <c r="M160" s="525" t="s">
        <v>460</v>
      </c>
      <c r="N160" s="217" t="s">
        <v>52</v>
      </c>
      <c r="O160" s="524" t="s">
        <v>460</v>
      </c>
      <c r="R160" s="658"/>
      <c r="S160" s="658"/>
      <c r="T160" s="212"/>
      <c r="U160" s="659"/>
      <c r="V160" s="658"/>
      <c r="W160" s="658"/>
      <c r="X160" s="212"/>
      <c r="Y160" s="659"/>
      <c r="Z160" s="658"/>
      <c r="AA160" s="658"/>
      <c r="AB160" s="658"/>
      <c r="AC160" s="659"/>
    </row>
    <row r="161" spans="2:29" ht="72" customHeight="1" thickBot="1" x14ac:dyDescent="0.25">
      <c r="B161" s="1011" t="s">
        <v>1056</v>
      </c>
      <c r="C161" s="1011"/>
      <c r="D161" s="522">
        <v>3</v>
      </c>
      <c r="E161" s="522">
        <v>3.71</v>
      </c>
      <c r="F161" s="522">
        <v>3</v>
      </c>
      <c r="G161" s="524">
        <v>3.55</v>
      </c>
      <c r="H161" s="671">
        <v>3.43</v>
      </c>
      <c r="I161" s="522">
        <v>3.5</v>
      </c>
      <c r="J161" s="676" t="s">
        <v>52</v>
      </c>
      <c r="K161" s="524">
        <v>3.45</v>
      </c>
      <c r="L161" s="672">
        <v>4</v>
      </c>
      <c r="M161" s="525">
        <v>3</v>
      </c>
      <c r="N161" s="676" t="s">
        <v>52</v>
      </c>
      <c r="O161" s="524">
        <v>3.5</v>
      </c>
      <c r="R161" s="681"/>
      <c r="S161" s="658"/>
      <c r="T161" s="212"/>
      <c r="U161" s="659"/>
      <c r="V161" s="681"/>
      <c r="W161" s="681"/>
      <c r="X161" s="681"/>
      <c r="Y161" s="682"/>
      <c r="Z161" s="658"/>
      <c r="AA161" s="658"/>
      <c r="AB161" s="658"/>
      <c r="AC161" s="659"/>
    </row>
    <row r="162" spans="2:29" ht="35.25" customHeight="1" thickBot="1" x14ac:dyDescent="0.25">
      <c r="B162" s="1011" t="s">
        <v>1310</v>
      </c>
      <c r="C162" s="1011"/>
      <c r="D162" s="522" t="s">
        <v>460</v>
      </c>
      <c r="E162" s="522" t="s">
        <v>1311</v>
      </c>
      <c r="F162" s="217" t="s">
        <v>460</v>
      </c>
      <c r="G162" s="524" t="s">
        <v>1312</v>
      </c>
      <c r="H162" s="671" t="s">
        <v>660</v>
      </c>
      <c r="I162" s="522" t="s">
        <v>1051</v>
      </c>
      <c r="J162" s="217" t="s">
        <v>52</v>
      </c>
      <c r="K162" s="524" t="s">
        <v>1017</v>
      </c>
      <c r="L162" s="672" t="s">
        <v>460</v>
      </c>
      <c r="M162" s="525" t="s">
        <v>1019</v>
      </c>
      <c r="N162" s="217" t="s">
        <v>52</v>
      </c>
      <c r="O162" s="524" t="s">
        <v>1045</v>
      </c>
      <c r="R162" s="658"/>
      <c r="S162" s="658"/>
      <c r="T162" s="212"/>
      <c r="U162" s="659"/>
      <c r="V162" s="658"/>
      <c r="W162" s="658"/>
      <c r="X162" s="212"/>
      <c r="Y162" s="659"/>
      <c r="Z162" s="658"/>
      <c r="AA162" s="658"/>
      <c r="AB162" s="658"/>
      <c r="AC162" s="659"/>
    </row>
    <row r="163" spans="2:29" ht="27" customHeight="1" thickBot="1" x14ac:dyDescent="0.25">
      <c r="B163" s="999" t="s">
        <v>1313</v>
      </c>
      <c r="C163" s="999"/>
      <c r="D163" s="522">
        <v>9.75</v>
      </c>
      <c r="E163" s="522">
        <v>8.117647058823529</v>
      </c>
      <c r="F163" s="522">
        <v>10</v>
      </c>
      <c r="G163" s="524">
        <v>8.5</v>
      </c>
      <c r="H163" s="671">
        <v>7.1428571428571432</v>
      </c>
      <c r="I163" s="522">
        <v>7.75</v>
      </c>
      <c r="J163" s="217" t="s">
        <v>52</v>
      </c>
      <c r="K163" s="524">
        <v>7.3636363636363633</v>
      </c>
      <c r="L163" s="672">
        <v>10</v>
      </c>
      <c r="M163" s="525">
        <v>9</v>
      </c>
      <c r="N163" s="217" t="s">
        <v>52</v>
      </c>
      <c r="O163" s="524">
        <v>9.5</v>
      </c>
      <c r="R163" s="681"/>
      <c r="S163" s="681"/>
      <c r="T163" s="212"/>
      <c r="U163" s="659"/>
      <c r="V163" s="681"/>
      <c r="W163" s="681"/>
      <c r="X163" s="212"/>
      <c r="Y163" s="682"/>
      <c r="Z163" s="658"/>
      <c r="AA163" s="658"/>
      <c r="AB163" s="658"/>
      <c r="AC163" s="659"/>
    </row>
    <row r="164" spans="2:29" ht="38.25" customHeight="1" thickBot="1" x14ac:dyDescent="0.25">
      <c r="B164" s="1011" t="s">
        <v>1314</v>
      </c>
      <c r="C164" s="1011"/>
      <c r="D164" s="522">
        <v>9.75</v>
      </c>
      <c r="E164" s="522">
        <v>8.5882352941176467</v>
      </c>
      <c r="F164" s="522">
        <v>10</v>
      </c>
      <c r="G164" s="524">
        <v>8.8636363636363633</v>
      </c>
      <c r="H164" s="671">
        <v>7.1428571428571432</v>
      </c>
      <c r="I164" s="522">
        <v>8.5</v>
      </c>
      <c r="J164" s="217" t="s">
        <v>52</v>
      </c>
      <c r="K164" s="524">
        <v>7.6363636363636367</v>
      </c>
      <c r="L164" s="672">
        <v>10</v>
      </c>
      <c r="M164" s="525">
        <v>10</v>
      </c>
      <c r="N164" s="217" t="s">
        <v>52</v>
      </c>
      <c r="O164" s="524">
        <v>10</v>
      </c>
      <c r="R164" s="681"/>
      <c r="S164" s="658"/>
      <c r="T164" s="212"/>
      <c r="U164" s="659"/>
      <c r="V164" s="681"/>
      <c r="W164" s="681"/>
      <c r="X164" s="212"/>
      <c r="Y164" s="682"/>
      <c r="Z164" s="658"/>
      <c r="AA164" s="658"/>
      <c r="AB164" s="658"/>
      <c r="AC164" s="659"/>
    </row>
    <row r="165" spans="2:29" ht="38.25" customHeight="1" thickBot="1" x14ac:dyDescent="0.25">
      <c r="B165" s="999" t="s">
        <v>1315</v>
      </c>
      <c r="C165" s="999"/>
      <c r="D165" s="522">
        <v>9.5</v>
      </c>
      <c r="E165" s="522">
        <v>7.8235294117647056</v>
      </c>
      <c r="F165" s="522">
        <v>10</v>
      </c>
      <c r="G165" s="524">
        <v>8.2272727272727266</v>
      </c>
      <c r="H165" s="671">
        <v>7.1428571428571432</v>
      </c>
      <c r="I165" s="522">
        <v>7.25</v>
      </c>
      <c r="J165" s="217" t="s">
        <v>52</v>
      </c>
      <c r="K165" s="524">
        <v>7.1818181818181817</v>
      </c>
      <c r="L165" s="672">
        <v>8</v>
      </c>
      <c r="M165" s="525">
        <v>9</v>
      </c>
      <c r="N165" s="217" t="s">
        <v>52</v>
      </c>
      <c r="O165" s="524">
        <v>8.5</v>
      </c>
      <c r="R165" s="658"/>
      <c r="S165" s="658"/>
      <c r="T165" s="212"/>
      <c r="U165" s="659"/>
      <c r="V165" s="658"/>
      <c r="W165" s="658"/>
      <c r="X165" s="212"/>
      <c r="Y165" s="659"/>
      <c r="Z165" s="658"/>
      <c r="AA165" s="658"/>
      <c r="AB165" s="658"/>
      <c r="AC165" s="659"/>
    </row>
    <row r="166" spans="2:29" ht="38.25" customHeight="1" thickBot="1" x14ac:dyDescent="0.25">
      <c r="B166" s="999" t="s">
        <v>1316</v>
      </c>
      <c r="C166" s="999"/>
      <c r="D166" s="522">
        <v>7</v>
      </c>
      <c r="E166" s="522">
        <v>6.117647058823529</v>
      </c>
      <c r="F166" s="522">
        <v>3</v>
      </c>
      <c r="G166" s="524">
        <v>6.1363636363636367</v>
      </c>
      <c r="H166" s="671">
        <v>1.8571428571428572</v>
      </c>
      <c r="I166" s="522">
        <v>6</v>
      </c>
      <c r="J166" s="217" t="s">
        <v>52</v>
      </c>
      <c r="K166" s="524">
        <v>3.3636363636363638</v>
      </c>
      <c r="L166" s="672">
        <v>3</v>
      </c>
      <c r="M166" s="525">
        <v>1</v>
      </c>
      <c r="N166" s="217" t="s">
        <v>52</v>
      </c>
      <c r="O166" s="524">
        <v>2</v>
      </c>
      <c r="R166" s="658"/>
      <c r="S166" s="658"/>
      <c r="T166" s="212"/>
      <c r="U166" s="659"/>
      <c r="V166" s="658"/>
      <c r="W166" s="658"/>
      <c r="X166" s="212"/>
      <c r="Y166" s="659"/>
      <c r="Z166" s="658"/>
      <c r="AA166" s="658"/>
      <c r="AB166" s="658"/>
      <c r="AC166" s="659"/>
    </row>
    <row r="167" spans="2:29" ht="38.25" customHeight="1" thickBot="1" x14ac:dyDescent="0.25">
      <c r="B167" s="999" t="s">
        <v>1317</v>
      </c>
      <c r="C167" s="999"/>
      <c r="D167" s="676" t="s">
        <v>1045</v>
      </c>
      <c r="E167" s="522" t="s">
        <v>1019</v>
      </c>
      <c r="F167" s="217" t="s">
        <v>460</v>
      </c>
      <c r="G167" s="524" t="s">
        <v>1318</v>
      </c>
      <c r="H167" s="687" t="s">
        <v>1303</v>
      </c>
      <c r="I167" s="676" t="s">
        <v>1019</v>
      </c>
      <c r="J167" s="217" t="s">
        <v>52</v>
      </c>
      <c r="K167" s="675" t="s">
        <v>1274</v>
      </c>
      <c r="L167" s="672" t="s">
        <v>1019</v>
      </c>
      <c r="M167" s="525" t="s">
        <v>1019</v>
      </c>
      <c r="N167" s="217" t="s">
        <v>52</v>
      </c>
      <c r="O167" s="524" t="s">
        <v>1019</v>
      </c>
      <c r="R167" s="658"/>
      <c r="S167" s="658"/>
      <c r="T167" s="212"/>
      <c r="U167" s="659"/>
      <c r="V167" s="658"/>
      <c r="W167" s="658"/>
      <c r="X167" s="212"/>
      <c r="Y167" s="659"/>
      <c r="Z167" s="658"/>
      <c r="AA167" s="658"/>
      <c r="AB167" s="658"/>
      <c r="AC167" s="659"/>
    </row>
    <row r="168" spans="2:29" ht="36.75" customHeight="1" thickBot="1" x14ac:dyDescent="0.25">
      <c r="B168" s="1011" t="s">
        <v>1319</v>
      </c>
      <c r="C168" s="1011"/>
      <c r="D168" s="522" t="s">
        <v>1051</v>
      </c>
      <c r="E168" s="522" t="s">
        <v>1320</v>
      </c>
      <c r="F168" s="217" t="s">
        <v>460</v>
      </c>
      <c r="G168" s="524" t="s">
        <v>1321</v>
      </c>
      <c r="H168" s="671" t="s">
        <v>1050</v>
      </c>
      <c r="I168" s="522" t="s">
        <v>662</v>
      </c>
      <c r="J168" s="217" t="s">
        <v>52</v>
      </c>
      <c r="K168" s="524" t="s">
        <v>1322</v>
      </c>
      <c r="L168" s="672" t="s">
        <v>1019</v>
      </c>
      <c r="M168" s="525" t="s">
        <v>460</v>
      </c>
      <c r="N168" s="217" t="s">
        <v>52</v>
      </c>
      <c r="O168" s="524" t="s">
        <v>1045</v>
      </c>
      <c r="R168" s="658"/>
      <c r="S168" s="658"/>
      <c r="T168" s="212"/>
      <c r="U168" s="659"/>
      <c r="V168" s="658"/>
      <c r="W168" s="658"/>
      <c r="X168" s="212"/>
      <c r="Y168" s="659"/>
      <c r="Z168" s="658"/>
      <c r="AA168" s="658"/>
      <c r="AB168" s="658"/>
      <c r="AC168" s="659"/>
    </row>
    <row r="169" spans="2:29" ht="38.25" customHeight="1" thickBot="1" x14ac:dyDescent="0.25">
      <c r="B169" s="999" t="s">
        <v>1323</v>
      </c>
      <c r="C169" s="999"/>
      <c r="D169" s="676" t="s">
        <v>1045</v>
      </c>
      <c r="E169" s="522" t="s">
        <v>1324</v>
      </c>
      <c r="F169" s="217" t="s">
        <v>1019</v>
      </c>
      <c r="G169" s="524" t="s">
        <v>1018</v>
      </c>
      <c r="H169" s="687" t="s">
        <v>660</v>
      </c>
      <c r="I169" s="676" t="s">
        <v>662</v>
      </c>
      <c r="J169" s="217" t="s">
        <v>52</v>
      </c>
      <c r="K169" s="675" t="s">
        <v>1325</v>
      </c>
      <c r="L169" s="672" t="s">
        <v>1019</v>
      </c>
      <c r="M169" s="525" t="s">
        <v>1019</v>
      </c>
      <c r="N169" s="217" t="s">
        <v>52</v>
      </c>
      <c r="O169" s="524" t="s">
        <v>1019</v>
      </c>
      <c r="R169" s="658"/>
      <c r="S169" s="658"/>
      <c r="T169" s="212"/>
      <c r="U169" s="659"/>
      <c r="V169" s="658"/>
      <c r="W169" s="658"/>
      <c r="X169" s="212"/>
      <c r="Y169" s="659"/>
      <c r="Z169" s="658"/>
      <c r="AA169" s="658"/>
      <c r="AB169" s="658"/>
      <c r="AC169" s="659"/>
    </row>
    <row r="170" spans="2:29" ht="38.25" customHeight="1" thickBot="1" x14ac:dyDescent="0.25">
      <c r="B170" s="999" t="s">
        <v>1326</v>
      </c>
      <c r="C170" s="999"/>
      <c r="D170" s="676" t="s">
        <v>460</v>
      </c>
      <c r="E170" s="522" t="s">
        <v>1327</v>
      </c>
      <c r="F170" s="217" t="s">
        <v>1019</v>
      </c>
      <c r="G170" s="524" t="s">
        <v>1328</v>
      </c>
      <c r="H170" s="687" t="s">
        <v>660</v>
      </c>
      <c r="I170" s="676" t="s">
        <v>662</v>
      </c>
      <c r="J170" s="217" t="s">
        <v>52</v>
      </c>
      <c r="K170" s="675" t="s">
        <v>1325</v>
      </c>
      <c r="L170" s="672" t="s">
        <v>1019</v>
      </c>
      <c r="M170" s="525" t="s">
        <v>1019</v>
      </c>
      <c r="N170" s="217" t="s">
        <v>52</v>
      </c>
      <c r="O170" s="524" t="s">
        <v>1019</v>
      </c>
      <c r="R170" s="658"/>
      <c r="S170" s="658"/>
      <c r="T170" s="212"/>
      <c r="U170" s="659"/>
      <c r="V170" s="658"/>
      <c r="W170" s="658"/>
      <c r="X170" s="212"/>
      <c r="Y170" s="659"/>
      <c r="Z170" s="658"/>
      <c r="AA170" s="658"/>
      <c r="AB170" s="658"/>
      <c r="AC170" s="659"/>
    </row>
    <row r="171" spans="2:29" ht="75" customHeight="1" thickBot="1" x14ac:dyDescent="0.25">
      <c r="B171" s="1011" t="s">
        <v>1329</v>
      </c>
      <c r="C171" s="1011"/>
      <c r="D171" s="522" t="s">
        <v>1051</v>
      </c>
      <c r="E171" s="522" t="s">
        <v>1324</v>
      </c>
      <c r="F171" s="217" t="s">
        <v>460</v>
      </c>
      <c r="G171" s="524" t="s">
        <v>1017</v>
      </c>
      <c r="H171" s="671" t="s">
        <v>1303</v>
      </c>
      <c r="I171" s="522" t="s">
        <v>1051</v>
      </c>
      <c r="J171" s="217" t="s">
        <v>52</v>
      </c>
      <c r="K171" s="524" t="s">
        <v>1322</v>
      </c>
      <c r="L171" s="672" t="s">
        <v>1019</v>
      </c>
      <c r="M171" s="525" t="s">
        <v>460</v>
      </c>
      <c r="N171" s="217" t="s">
        <v>52</v>
      </c>
      <c r="O171" s="524" t="s">
        <v>1045</v>
      </c>
      <c r="R171" s="658"/>
      <c r="S171" s="658"/>
      <c r="T171" s="212"/>
      <c r="U171" s="659"/>
      <c r="V171" s="658"/>
      <c r="W171" s="658"/>
      <c r="X171" s="212"/>
      <c r="Y171" s="659"/>
      <c r="Z171" s="658"/>
      <c r="AA171" s="658"/>
      <c r="AB171" s="658"/>
      <c r="AC171" s="659"/>
    </row>
    <row r="172" spans="2:29" ht="27" customHeight="1" thickBot="1" x14ac:dyDescent="0.25">
      <c r="B172" s="1011" t="s">
        <v>1330</v>
      </c>
      <c r="C172" s="1011"/>
      <c r="D172" s="522" t="s">
        <v>460</v>
      </c>
      <c r="E172" s="522" t="s">
        <v>1331</v>
      </c>
      <c r="F172" s="217" t="s">
        <v>460</v>
      </c>
      <c r="G172" s="524" t="s">
        <v>1332</v>
      </c>
      <c r="H172" s="671" t="s">
        <v>460</v>
      </c>
      <c r="I172" s="522" t="s">
        <v>1051</v>
      </c>
      <c r="J172" s="217" t="s">
        <v>52</v>
      </c>
      <c r="K172" s="524" t="s">
        <v>1312</v>
      </c>
      <c r="L172" s="672" t="s">
        <v>460</v>
      </c>
      <c r="M172" s="525" t="s">
        <v>460</v>
      </c>
      <c r="N172" s="217" t="s">
        <v>52</v>
      </c>
      <c r="O172" s="524" t="s">
        <v>460</v>
      </c>
      <c r="R172" s="658"/>
      <c r="S172" s="658"/>
      <c r="T172" s="212"/>
      <c r="U172" s="659"/>
      <c r="V172" s="658"/>
      <c r="W172" s="658"/>
      <c r="X172" s="212"/>
      <c r="Y172" s="659"/>
      <c r="Z172" s="658"/>
      <c r="AA172" s="658"/>
      <c r="AB172" s="658"/>
      <c r="AC172" s="659"/>
    </row>
    <row r="173" spans="2:29" ht="60" customHeight="1" thickBot="1" x14ac:dyDescent="0.25">
      <c r="B173" s="998" t="s">
        <v>1333</v>
      </c>
      <c r="C173" s="998"/>
      <c r="D173" s="677" t="s">
        <v>460</v>
      </c>
      <c r="E173" s="677" t="s">
        <v>1311</v>
      </c>
      <c r="F173" s="546" t="s">
        <v>460</v>
      </c>
      <c r="G173" s="678" t="s">
        <v>1312</v>
      </c>
      <c r="H173" s="679" t="s">
        <v>1334</v>
      </c>
      <c r="I173" s="677" t="s">
        <v>1045</v>
      </c>
      <c r="J173" s="546" t="s">
        <v>52</v>
      </c>
      <c r="K173" s="678" t="s">
        <v>1325</v>
      </c>
      <c r="L173" s="679" t="s">
        <v>460</v>
      </c>
      <c r="M173" s="677" t="s">
        <v>1019</v>
      </c>
      <c r="N173" s="546" t="s">
        <v>52</v>
      </c>
      <c r="O173" s="678" t="s">
        <v>1045</v>
      </c>
      <c r="R173" s="658"/>
      <c r="S173" s="658"/>
      <c r="T173" s="212"/>
      <c r="U173" s="659"/>
      <c r="V173" s="658"/>
      <c r="W173" s="658"/>
      <c r="X173" s="212"/>
      <c r="Y173" s="659"/>
      <c r="Z173" s="658"/>
      <c r="AA173" s="658"/>
      <c r="AB173" s="658"/>
      <c r="AC173" s="659"/>
    </row>
    <row r="174" spans="2:29" ht="21.75" customHeight="1" x14ac:dyDescent="0.2">
      <c r="B174" s="1045" t="s">
        <v>1483</v>
      </c>
      <c r="C174" s="1045"/>
      <c r="D174" s="40"/>
      <c r="E174" s="40"/>
    </row>
    <row r="175" spans="2:29" ht="21.75" customHeight="1" x14ac:dyDescent="0.2">
      <c r="B175" s="45" t="s">
        <v>458</v>
      </c>
      <c r="C175" s="45"/>
      <c r="D175" s="40"/>
      <c r="E175" s="40"/>
    </row>
    <row r="176" spans="2:29" ht="21.75" customHeight="1" x14ac:dyDescent="0.2">
      <c r="B176" s="40"/>
      <c r="C176" s="40"/>
      <c r="D176" s="40"/>
      <c r="E176" s="40"/>
    </row>
    <row r="177" spans="1:25" ht="21.75" customHeight="1" x14ac:dyDescent="0.2">
      <c r="B177" s="52"/>
    </row>
    <row r="178" spans="1:25" x14ac:dyDescent="0.2">
      <c r="A178" s="210"/>
      <c r="B178" s="1068" t="s">
        <v>837</v>
      </c>
      <c r="C178" s="1068"/>
      <c r="D178" s="1068"/>
      <c r="E178" s="1068"/>
      <c r="F178" s="1068"/>
      <c r="G178" s="1068"/>
      <c r="H178" s="1068"/>
      <c r="I178" t="s">
        <v>930</v>
      </c>
    </row>
    <row r="179" spans="1:25" x14ac:dyDescent="0.2">
      <c r="A179" s="210"/>
      <c r="B179" s="1043" t="s">
        <v>2</v>
      </c>
      <c r="C179" s="1043"/>
      <c r="D179" s="506" t="s">
        <v>456</v>
      </c>
      <c r="E179" s="506" t="s">
        <v>336</v>
      </c>
      <c r="F179" s="506" t="s">
        <v>454</v>
      </c>
      <c r="L179" s="779"/>
      <c r="M179" s="779"/>
      <c r="N179" s="779"/>
      <c r="O179" s="779"/>
    </row>
    <row r="180" spans="1:25" ht="15" customHeight="1" thickBot="1" x14ac:dyDescent="0.25">
      <c r="A180" s="210"/>
      <c r="B180" s="1044" t="s">
        <v>7</v>
      </c>
      <c r="C180" s="1044"/>
      <c r="D180" s="246">
        <v>15</v>
      </c>
      <c r="E180" s="246">
        <f>G187</f>
        <v>2</v>
      </c>
      <c r="F180" s="242">
        <f>E180/D180</f>
        <v>0.13333333333333333</v>
      </c>
      <c r="H180" s="650"/>
      <c r="I180" s="650"/>
      <c r="J180" s="683"/>
      <c r="L180" s="779"/>
      <c r="M180" s="779"/>
      <c r="N180" s="779"/>
      <c r="O180" s="779"/>
    </row>
    <row r="181" spans="1:25" ht="15" customHeight="1" thickBot="1" x14ac:dyDescent="0.25">
      <c r="A181" s="210"/>
      <c r="B181" s="1005" t="s">
        <v>8</v>
      </c>
      <c r="C181" s="1005"/>
      <c r="D181" s="289">
        <v>33</v>
      </c>
      <c r="E181" s="289">
        <f>K187</f>
        <v>11</v>
      </c>
      <c r="F181" s="242">
        <f>E181/D181</f>
        <v>0.33333333333333331</v>
      </c>
      <c r="H181" s="650"/>
      <c r="I181" s="650"/>
      <c r="J181" s="683"/>
      <c r="L181" s="13"/>
      <c r="M181" s="13"/>
      <c r="N181" s="13"/>
      <c r="O181" s="13"/>
    </row>
    <row r="182" spans="1:25" ht="15" customHeight="1" thickBot="1" x14ac:dyDescent="0.25">
      <c r="A182" s="210"/>
      <c r="B182" s="1006" t="s">
        <v>1030</v>
      </c>
      <c r="C182" s="1006"/>
      <c r="D182" s="269">
        <v>3</v>
      </c>
      <c r="E182" s="269">
        <f>O187</f>
        <v>0</v>
      </c>
      <c r="F182" s="243">
        <f>E182/D182</f>
        <v>0</v>
      </c>
      <c r="H182" s="650"/>
      <c r="I182" s="650"/>
      <c r="J182" s="683"/>
      <c r="L182" s="779"/>
      <c r="M182" s="779"/>
      <c r="N182" s="779"/>
      <c r="O182" s="779"/>
    </row>
    <row r="183" spans="1:25" x14ac:dyDescent="0.2">
      <c r="B183" s="37"/>
      <c r="D183" s="544"/>
    </row>
    <row r="184" spans="1:25" ht="15" customHeight="1" x14ac:dyDescent="0.2">
      <c r="B184" s="232"/>
      <c r="D184" s="1012" t="s">
        <v>455</v>
      </c>
      <c r="E184" s="1012"/>
      <c r="F184" s="1012"/>
      <c r="G184" s="1012"/>
      <c r="H184" s="1012"/>
      <c r="I184" s="1012"/>
      <c r="J184" s="1012"/>
      <c r="K184" s="1012"/>
      <c r="L184" s="1012"/>
      <c r="M184" s="1012"/>
      <c r="N184" s="1012"/>
      <c r="O184" s="1012"/>
    </row>
    <row r="185" spans="1:25" ht="21.75" customHeight="1" x14ac:dyDescent="0.2">
      <c r="B185" s="1012" t="s">
        <v>1031</v>
      </c>
      <c r="C185" s="1012"/>
      <c r="D185" s="741" t="s">
        <v>7</v>
      </c>
      <c r="E185" s="741"/>
      <c r="F185" s="741"/>
      <c r="G185" s="741"/>
      <c r="H185" s="741" t="s">
        <v>8</v>
      </c>
      <c r="I185" s="741"/>
      <c r="J185" s="741"/>
      <c r="K185" s="741"/>
      <c r="L185" s="741" t="s">
        <v>1026</v>
      </c>
      <c r="M185" s="741"/>
      <c r="N185" s="741"/>
      <c r="O185" s="741"/>
    </row>
    <row r="186" spans="1:25" ht="33" customHeight="1" x14ac:dyDescent="0.2">
      <c r="B186" s="1012"/>
      <c r="C186" s="1012"/>
      <c r="D186" s="207" t="s">
        <v>849</v>
      </c>
      <c r="E186" s="207" t="s">
        <v>850</v>
      </c>
      <c r="F186" s="207" t="s">
        <v>1008</v>
      </c>
      <c r="G186" s="207" t="s">
        <v>1016</v>
      </c>
      <c r="H186" s="504" t="s">
        <v>849</v>
      </c>
      <c r="I186" s="207" t="s">
        <v>850</v>
      </c>
      <c r="J186" s="207" t="s">
        <v>1008</v>
      </c>
      <c r="K186" s="207" t="s">
        <v>1016</v>
      </c>
      <c r="L186" s="504" t="s">
        <v>849</v>
      </c>
      <c r="M186" s="207" t="s">
        <v>850</v>
      </c>
      <c r="N186" s="207" t="s">
        <v>1008</v>
      </c>
      <c r="O186" s="207" t="s">
        <v>1016</v>
      </c>
    </row>
    <row r="187" spans="1:25" ht="18.75" customHeight="1" x14ac:dyDescent="0.2">
      <c r="B187" s="1009" t="s">
        <v>454</v>
      </c>
      <c r="C187" s="1009"/>
      <c r="D187" s="507">
        <v>1</v>
      </c>
      <c r="E187" s="507">
        <v>0</v>
      </c>
      <c r="F187" s="507">
        <v>1</v>
      </c>
      <c r="G187" s="507">
        <f>SUM(D187:F187)</f>
        <v>2</v>
      </c>
      <c r="H187" s="432">
        <v>8</v>
      </c>
      <c r="I187" s="507">
        <v>3</v>
      </c>
      <c r="J187" s="507">
        <v>0</v>
      </c>
      <c r="K187" s="507">
        <f>SUM(H187:J187)</f>
        <v>11</v>
      </c>
      <c r="L187" s="432">
        <v>0</v>
      </c>
      <c r="M187" s="507">
        <v>0</v>
      </c>
      <c r="N187" s="507">
        <v>0</v>
      </c>
      <c r="O187" s="507">
        <f>SUM(L187:N187)</f>
        <v>0</v>
      </c>
    </row>
    <row r="188" spans="1:25" ht="108.75" customHeight="1" thickBot="1" x14ac:dyDescent="0.25">
      <c r="B188" s="1011" t="s">
        <v>1052</v>
      </c>
      <c r="C188" s="1011"/>
      <c r="D188" s="437" t="s">
        <v>1335</v>
      </c>
      <c r="E188" s="437" t="s">
        <v>52</v>
      </c>
      <c r="F188" s="437" t="s">
        <v>1336</v>
      </c>
      <c r="G188" s="521" t="s">
        <v>1337</v>
      </c>
      <c r="H188" s="545" t="s">
        <v>1338</v>
      </c>
      <c r="I188" s="437" t="s">
        <v>1064</v>
      </c>
      <c r="J188" s="437" t="s">
        <v>52</v>
      </c>
      <c r="K188" s="521" t="s">
        <v>1339</v>
      </c>
      <c r="L188" s="545" t="s">
        <v>52</v>
      </c>
      <c r="M188" s="437" t="s">
        <v>52</v>
      </c>
      <c r="N188" s="437" t="s">
        <v>52</v>
      </c>
      <c r="O188" s="437" t="s">
        <v>52</v>
      </c>
      <c r="V188" s="212"/>
      <c r="W188" s="212"/>
      <c r="X188" s="212"/>
      <c r="Y188" s="213"/>
    </row>
    <row r="189" spans="1:25" ht="39" customHeight="1" thickBot="1" x14ac:dyDescent="0.25">
      <c r="B189" s="999" t="s">
        <v>1294</v>
      </c>
      <c r="C189" s="999"/>
      <c r="D189" s="617" t="s">
        <v>1019</v>
      </c>
      <c r="E189" s="617" t="s">
        <v>52</v>
      </c>
      <c r="F189" s="617" t="s">
        <v>1019</v>
      </c>
      <c r="G189" s="684" t="s">
        <v>1019</v>
      </c>
      <c r="H189" s="685" t="s">
        <v>662</v>
      </c>
      <c r="I189" s="617" t="s">
        <v>1019</v>
      </c>
      <c r="J189" s="617" t="s">
        <v>52</v>
      </c>
      <c r="K189" s="684" t="s">
        <v>1274</v>
      </c>
      <c r="L189" s="685" t="s">
        <v>52</v>
      </c>
      <c r="M189" s="617" t="s">
        <v>52</v>
      </c>
      <c r="N189" s="617" t="s">
        <v>52</v>
      </c>
      <c r="O189" s="617" t="s">
        <v>52</v>
      </c>
      <c r="V189" s="658"/>
      <c r="W189" s="658"/>
      <c r="X189" s="212"/>
      <c r="Y189" s="659"/>
    </row>
    <row r="190" spans="1:25" ht="39" customHeight="1" thickBot="1" x14ac:dyDescent="0.25">
      <c r="B190" s="999" t="s">
        <v>1299</v>
      </c>
      <c r="C190" s="999"/>
      <c r="D190" s="617" t="s">
        <v>1019</v>
      </c>
      <c r="E190" s="617" t="s">
        <v>52</v>
      </c>
      <c r="F190" s="617" t="s">
        <v>460</v>
      </c>
      <c r="G190" s="684" t="s">
        <v>1045</v>
      </c>
      <c r="H190" s="685" t="s">
        <v>1019</v>
      </c>
      <c r="I190" s="617" t="s">
        <v>1044</v>
      </c>
      <c r="J190" s="617" t="s">
        <v>52</v>
      </c>
      <c r="K190" s="684" t="s">
        <v>1274</v>
      </c>
      <c r="L190" s="685" t="s">
        <v>52</v>
      </c>
      <c r="M190" s="617" t="s">
        <v>52</v>
      </c>
      <c r="N190" s="617" t="s">
        <v>52</v>
      </c>
      <c r="O190" s="617" t="s">
        <v>52</v>
      </c>
      <c r="V190" s="658"/>
      <c r="W190" s="658"/>
      <c r="X190" s="212"/>
      <c r="Y190" s="659"/>
    </row>
    <row r="191" spans="1:25" ht="48.75" customHeight="1" thickBot="1" x14ac:dyDescent="0.25">
      <c r="B191" s="999" t="s">
        <v>1053</v>
      </c>
      <c r="C191" s="999"/>
      <c r="D191" s="437" t="s">
        <v>460</v>
      </c>
      <c r="E191" s="437" t="s">
        <v>52</v>
      </c>
      <c r="F191" s="437" t="s">
        <v>460</v>
      </c>
      <c r="G191" s="521" t="s">
        <v>1045</v>
      </c>
      <c r="H191" s="545" t="s">
        <v>662</v>
      </c>
      <c r="I191" s="437" t="s">
        <v>661</v>
      </c>
      <c r="J191" s="437" t="s">
        <v>52</v>
      </c>
      <c r="K191" s="521" t="s">
        <v>1296</v>
      </c>
      <c r="L191" s="545" t="s">
        <v>52</v>
      </c>
      <c r="M191" s="437" t="s">
        <v>52</v>
      </c>
      <c r="N191" s="437" t="s">
        <v>52</v>
      </c>
      <c r="O191" s="437" t="s">
        <v>52</v>
      </c>
      <c r="V191" s="212"/>
      <c r="W191" s="212"/>
      <c r="X191" s="212"/>
      <c r="Y191" s="213"/>
    </row>
    <row r="192" spans="1:25" ht="48.75" customHeight="1" thickBot="1" x14ac:dyDescent="0.25">
      <c r="B192" s="1011" t="s">
        <v>1054</v>
      </c>
      <c r="C192" s="1011"/>
      <c r="D192" s="437" t="s">
        <v>1047</v>
      </c>
      <c r="E192" s="437" t="s">
        <v>52</v>
      </c>
      <c r="F192" s="437" t="s">
        <v>1047</v>
      </c>
      <c r="G192" s="521" t="s">
        <v>1047</v>
      </c>
      <c r="H192" s="545" t="s">
        <v>1340</v>
      </c>
      <c r="I192" s="437" t="s">
        <v>1341</v>
      </c>
      <c r="J192" s="437" t="s">
        <v>52</v>
      </c>
      <c r="K192" s="521" t="s">
        <v>1342</v>
      </c>
      <c r="L192" s="545" t="s">
        <v>52</v>
      </c>
      <c r="M192" s="437" t="s">
        <v>52</v>
      </c>
      <c r="N192" s="437" t="s">
        <v>52</v>
      </c>
      <c r="O192" s="437" t="s">
        <v>52</v>
      </c>
      <c r="V192" s="212"/>
      <c r="W192" s="212"/>
      <c r="X192" s="212"/>
      <c r="Y192" s="213"/>
    </row>
    <row r="193" spans="2:25" ht="48.75" customHeight="1" thickBot="1" x14ac:dyDescent="0.25">
      <c r="B193" s="1011" t="s">
        <v>1055</v>
      </c>
      <c r="C193" s="1011"/>
      <c r="D193" s="437" t="s">
        <v>460</v>
      </c>
      <c r="E193" s="437" t="s">
        <v>52</v>
      </c>
      <c r="F193" s="437" t="s">
        <v>460</v>
      </c>
      <c r="G193" s="521" t="s">
        <v>460</v>
      </c>
      <c r="H193" s="545" t="s">
        <v>1343</v>
      </c>
      <c r="I193" s="437" t="s">
        <v>1280</v>
      </c>
      <c r="J193" s="437" t="s">
        <v>52</v>
      </c>
      <c r="K193" s="521" t="s">
        <v>1309</v>
      </c>
      <c r="L193" s="545" t="s">
        <v>52</v>
      </c>
      <c r="M193" s="437" t="s">
        <v>52</v>
      </c>
      <c r="N193" s="437" t="s">
        <v>52</v>
      </c>
      <c r="O193" s="437" t="s">
        <v>52</v>
      </c>
      <c r="V193" s="212"/>
      <c r="W193" s="212"/>
      <c r="X193" s="212"/>
      <c r="Y193" s="213"/>
    </row>
    <row r="194" spans="2:25" ht="69" customHeight="1" thickBot="1" x14ac:dyDescent="0.25">
      <c r="B194" s="1011" t="s">
        <v>1062</v>
      </c>
      <c r="C194" s="1011"/>
      <c r="D194" s="522">
        <v>3</v>
      </c>
      <c r="E194" s="689" t="s">
        <v>52</v>
      </c>
      <c r="F194" s="689">
        <v>4</v>
      </c>
      <c r="G194" s="690">
        <v>3.5</v>
      </c>
      <c r="H194" s="691">
        <v>3</v>
      </c>
      <c r="I194" s="689">
        <v>4</v>
      </c>
      <c r="J194" s="689" t="s">
        <v>52</v>
      </c>
      <c r="K194" s="690">
        <v>3.27</v>
      </c>
      <c r="L194" s="691" t="s">
        <v>52</v>
      </c>
      <c r="M194" s="689" t="s">
        <v>52</v>
      </c>
      <c r="N194" s="689" t="s">
        <v>52</v>
      </c>
      <c r="O194" s="689" t="s">
        <v>52</v>
      </c>
      <c r="V194" s="212"/>
      <c r="W194" s="212"/>
      <c r="X194" s="212"/>
      <c r="Y194" s="213"/>
    </row>
    <row r="195" spans="2:25" ht="48.75" customHeight="1" thickBot="1" x14ac:dyDescent="0.25">
      <c r="B195" s="999" t="s">
        <v>1310</v>
      </c>
      <c r="C195" s="999"/>
      <c r="D195" s="437" t="s">
        <v>460</v>
      </c>
      <c r="E195" s="437" t="s">
        <v>52</v>
      </c>
      <c r="F195" s="437" t="s">
        <v>460</v>
      </c>
      <c r="G195" s="521" t="s">
        <v>460</v>
      </c>
      <c r="H195" s="545" t="s">
        <v>1051</v>
      </c>
      <c r="I195" s="437" t="s">
        <v>460</v>
      </c>
      <c r="J195" s="437" t="s">
        <v>52</v>
      </c>
      <c r="K195" s="521" t="s">
        <v>1017</v>
      </c>
      <c r="L195" s="545" t="s">
        <v>52</v>
      </c>
      <c r="M195" s="437" t="s">
        <v>52</v>
      </c>
      <c r="N195" s="437" t="s">
        <v>52</v>
      </c>
      <c r="O195" s="437" t="s">
        <v>52</v>
      </c>
      <c r="V195" s="212"/>
      <c r="W195" s="212"/>
      <c r="X195" s="212"/>
      <c r="Y195" s="213"/>
    </row>
    <row r="196" spans="2:25" ht="48.75" customHeight="1" thickBot="1" x14ac:dyDescent="0.25">
      <c r="B196" s="1011" t="s">
        <v>1313</v>
      </c>
      <c r="C196" s="1011"/>
      <c r="D196" s="689">
        <v>7</v>
      </c>
      <c r="E196" s="689" t="s">
        <v>52</v>
      </c>
      <c r="F196" s="689">
        <v>10</v>
      </c>
      <c r="G196" s="690">
        <v>8.5</v>
      </c>
      <c r="H196" s="691">
        <v>6.5</v>
      </c>
      <c r="I196" s="689">
        <v>8.3333333333333339</v>
      </c>
      <c r="J196" s="689" t="s">
        <v>52</v>
      </c>
      <c r="K196" s="690">
        <v>7</v>
      </c>
      <c r="L196" s="691" t="s">
        <v>52</v>
      </c>
      <c r="M196" s="689" t="s">
        <v>52</v>
      </c>
      <c r="N196" s="689" t="s">
        <v>52</v>
      </c>
      <c r="O196" s="689" t="s">
        <v>52</v>
      </c>
      <c r="V196" s="212"/>
      <c r="W196" s="212"/>
      <c r="X196" s="212"/>
      <c r="Y196" s="213"/>
    </row>
    <row r="197" spans="2:25" ht="48.75" customHeight="1" thickBot="1" x14ac:dyDescent="0.25">
      <c r="B197" s="999" t="s">
        <v>1314</v>
      </c>
      <c r="C197" s="999"/>
      <c r="D197" s="689">
        <v>8</v>
      </c>
      <c r="E197" s="689" t="s">
        <v>52</v>
      </c>
      <c r="F197" s="689">
        <v>10</v>
      </c>
      <c r="G197" s="690">
        <v>9</v>
      </c>
      <c r="H197" s="691">
        <v>6.5</v>
      </c>
      <c r="I197" s="689">
        <v>8.6666666666666661</v>
      </c>
      <c r="J197" s="689" t="s">
        <v>52</v>
      </c>
      <c r="K197" s="690">
        <v>7.0909090909090908</v>
      </c>
      <c r="L197" s="691" t="s">
        <v>52</v>
      </c>
      <c r="M197" s="689" t="s">
        <v>52</v>
      </c>
      <c r="N197" s="689" t="s">
        <v>52</v>
      </c>
      <c r="O197" s="689" t="s">
        <v>52</v>
      </c>
      <c r="V197" s="212"/>
      <c r="W197" s="212"/>
      <c r="X197" s="212"/>
      <c r="Y197" s="213"/>
    </row>
    <row r="198" spans="2:25" ht="38.25" customHeight="1" thickBot="1" x14ac:dyDescent="0.25">
      <c r="B198" s="999" t="s">
        <v>1315</v>
      </c>
      <c r="C198" s="999"/>
      <c r="D198" s="522">
        <v>8</v>
      </c>
      <c r="E198" s="522" t="s">
        <v>52</v>
      </c>
      <c r="F198" s="522">
        <v>8</v>
      </c>
      <c r="G198" s="524">
        <v>8</v>
      </c>
      <c r="H198" s="671">
        <v>5.625</v>
      </c>
      <c r="I198" s="522">
        <v>8.3333333333333339</v>
      </c>
      <c r="J198" s="522" t="s">
        <v>52</v>
      </c>
      <c r="K198" s="524">
        <v>6.3636363636363633</v>
      </c>
      <c r="L198" s="672" t="s">
        <v>52</v>
      </c>
      <c r="M198" s="522" t="s">
        <v>52</v>
      </c>
      <c r="N198" s="522" t="s">
        <v>52</v>
      </c>
      <c r="O198" s="522" t="s">
        <v>52</v>
      </c>
      <c r="V198" s="658"/>
      <c r="W198" s="658"/>
      <c r="X198" s="212"/>
      <c r="Y198" s="659"/>
    </row>
    <row r="199" spans="2:25" ht="38.25" customHeight="1" thickBot="1" x14ac:dyDescent="0.25">
      <c r="B199" s="999" t="s">
        <v>1316</v>
      </c>
      <c r="C199" s="999"/>
      <c r="D199" s="522">
        <v>0</v>
      </c>
      <c r="E199" s="522" t="s">
        <v>52</v>
      </c>
      <c r="F199" s="522">
        <v>8</v>
      </c>
      <c r="G199" s="524">
        <v>4</v>
      </c>
      <c r="H199" s="671">
        <v>7.5</v>
      </c>
      <c r="I199" s="522">
        <v>5.333333333333333</v>
      </c>
      <c r="J199" s="522" t="s">
        <v>52</v>
      </c>
      <c r="K199" s="524">
        <v>6.9090909090909092</v>
      </c>
      <c r="L199" s="672" t="s">
        <v>52</v>
      </c>
      <c r="M199" s="522" t="s">
        <v>52</v>
      </c>
      <c r="N199" s="522" t="s">
        <v>52</v>
      </c>
      <c r="O199" s="522" t="s">
        <v>52</v>
      </c>
      <c r="V199" s="658"/>
      <c r="W199" s="658"/>
      <c r="X199" s="212"/>
      <c r="Y199" s="659"/>
    </row>
    <row r="200" spans="2:25" ht="48.75" customHeight="1" thickBot="1" x14ac:dyDescent="0.25">
      <c r="B200" s="1011" t="s">
        <v>1344</v>
      </c>
      <c r="C200" s="1011"/>
      <c r="D200" s="689">
        <v>8</v>
      </c>
      <c r="E200" s="689" t="s">
        <v>52</v>
      </c>
      <c r="F200" s="689">
        <v>8</v>
      </c>
      <c r="G200" s="690">
        <v>8</v>
      </c>
      <c r="H200" s="691">
        <v>7.75</v>
      </c>
      <c r="I200" s="689">
        <v>9</v>
      </c>
      <c r="J200" s="689" t="s">
        <v>52</v>
      </c>
      <c r="K200" s="690">
        <v>8.0909090909090917</v>
      </c>
      <c r="L200" s="691" t="s">
        <v>52</v>
      </c>
      <c r="M200" s="689" t="s">
        <v>52</v>
      </c>
      <c r="N200" s="689" t="s">
        <v>52</v>
      </c>
      <c r="O200" s="689" t="s">
        <v>52</v>
      </c>
      <c r="V200" s="212"/>
      <c r="W200" s="212"/>
      <c r="X200" s="212"/>
      <c r="Y200" s="213"/>
    </row>
    <row r="201" spans="2:25" ht="48.75" customHeight="1" thickBot="1" x14ac:dyDescent="0.25">
      <c r="B201" s="1011" t="s">
        <v>1345</v>
      </c>
      <c r="C201" s="1011"/>
      <c r="D201" s="689">
        <v>5</v>
      </c>
      <c r="E201" s="689" t="s">
        <v>52</v>
      </c>
      <c r="F201" s="689">
        <v>8</v>
      </c>
      <c r="G201" s="690">
        <v>6.5</v>
      </c>
      <c r="H201" s="691">
        <v>7</v>
      </c>
      <c r="I201" s="689">
        <v>8.6666666666666661</v>
      </c>
      <c r="J201" s="689" t="s">
        <v>52</v>
      </c>
      <c r="K201" s="690">
        <v>7.4545454545454541</v>
      </c>
      <c r="L201" s="691" t="s">
        <v>52</v>
      </c>
      <c r="M201" s="689" t="s">
        <v>52</v>
      </c>
      <c r="N201" s="689" t="s">
        <v>52</v>
      </c>
      <c r="O201" s="689" t="s">
        <v>52</v>
      </c>
      <c r="V201" s="212"/>
      <c r="W201" s="212"/>
      <c r="X201" s="212"/>
      <c r="Y201" s="213"/>
    </row>
    <row r="202" spans="2:25" ht="48.75" customHeight="1" thickBot="1" x14ac:dyDescent="0.25">
      <c r="B202" s="1011" t="s">
        <v>1346</v>
      </c>
      <c r="C202" s="1011"/>
      <c r="D202" s="689">
        <v>6</v>
      </c>
      <c r="E202" s="689" t="s">
        <v>52</v>
      </c>
      <c r="F202" s="689">
        <v>6</v>
      </c>
      <c r="G202" s="690">
        <v>6</v>
      </c>
      <c r="H202" s="691">
        <v>6.25</v>
      </c>
      <c r="I202" s="689">
        <v>6</v>
      </c>
      <c r="J202" s="689" t="s">
        <v>52</v>
      </c>
      <c r="K202" s="690">
        <v>6.1818181818181817</v>
      </c>
      <c r="L202" s="691" t="s">
        <v>52</v>
      </c>
      <c r="M202" s="689" t="s">
        <v>52</v>
      </c>
      <c r="N202" s="689" t="s">
        <v>52</v>
      </c>
      <c r="O202" s="689" t="s">
        <v>52</v>
      </c>
      <c r="V202" s="212"/>
      <c r="W202" s="658"/>
      <c r="X202" s="212"/>
      <c r="Y202" s="659"/>
    </row>
    <row r="203" spans="2:25" ht="48.75" customHeight="1" thickBot="1" x14ac:dyDescent="0.25">
      <c r="B203" s="1011" t="s">
        <v>1347</v>
      </c>
      <c r="C203" s="1011"/>
      <c r="D203" s="689">
        <v>8</v>
      </c>
      <c r="E203" s="689" t="s">
        <v>52</v>
      </c>
      <c r="F203" s="689">
        <v>8</v>
      </c>
      <c r="G203" s="690">
        <v>8</v>
      </c>
      <c r="H203" s="691">
        <v>8.125</v>
      </c>
      <c r="I203" s="689">
        <v>8.3333333333333339</v>
      </c>
      <c r="J203" s="689" t="s">
        <v>52</v>
      </c>
      <c r="K203" s="690">
        <v>8.1818181818181817</v>
      </c>
      <c r="L203" s="691" t="s">
        <v>52</v>
      </c>
      <c r="M203" s="689" t="s">
        <v>52</v>
      </c>
      <c r="N203" s="689" t="s">
        <v>52</v>
      </c>
      <c r="O203" s="689" t="s">
        <v>52</v>
      </c>
      <c r="V203" s="212"/>
      <c r="W203" s="212"/>
      <c r="X203" s="212"/>
      <c r="Y203" s="659"/>
    </row>
    <row r="204" spans="2:25" ht="48.75" customHeight="1" thickBot="1" x14ac:dyDescent="0.25">
      <c r="B204" s="1011" t="s">
        <v>1348</v>
      </c>
      <c r="C204" s="1011"/>
      <c r="D204" s="689">
        <v>9</v>
      </c>
      <c r="E204" s="689" t="s">
        <v>52</v>
      </c>
      <c r="F204" s="689">
        <v>7</v>
      </c>
      <c r="G204" s="690">
        <v>8</v>
      </c>
      <c r="H204" s="691">
        <v>8.875</v>
      </c>
      <c r="I204" s="689">
        <v>9</v>
      </c>
      <c r="J204" s="689" t="s">
        <v>52</v>
      </c>
      <c r="K204" s="690">
        <v>8.9090909090909083</v>
      </c>
      <c r="L204" s="691" t="s">
        <v>52</v>
      </c>
      <c r="M204" s="689" t="s">
        <v>52</v>
      </c>
      <c r="N204" s="689" t="s">
        <v>52</v>
      </c>
      <c r="O204" s="689" t="s">
        <v>52</v>
      </c>
      <c r="V204" s="212"/>
      <c r="W204" s="658"/>
      <c r="X204" s="212"/>
      <c r="Y204" s="659"/>
    </row>
    <row r="205" spans="2:25" ht="48.75" customHeight="1" thickBot="1" x14ac:dyDescent="0.25">
      <c r="B205" s="1011" t="s">
        <v>1349</v>
      </c>
      <c r="C205" s="1011"/>
      <c r="D205" s="689">
        <v>9</v>
      </c>
      <c r="E205" s="689" t="s">
        <v>52</v>
      </c>
      <c r="F205" s="689">
        <v>7</v>
      </c>
      <c r="G205" s="690">
        <v>8</v>
      </c>
      <c r="H205" s="691">
        <v>8.625</v>
      </c>
      <c r="I205" s="689">
        <v>8.3333333333333339</v>
      </c>
      <c r="J205" s="689" t="s">
        <v>52</v>
      </c>
      <c r="K205" s="690">
        <v>8.545454545454545</v>
      </c>
      <c r="L205" s="691" t="s">
        <v>52</v>
      </c>
      <c r="M205" s="689" t="s">
        <v>52</v>
      </c>
      <c r="N205" s="689" t="s">
        <v>52</v>
      </c>
      <c r="O205" s="689" t="s">
        <v>52</v>
      </c>
      <c r="V205" s="212"/>
      <c r="W205" s="658"/>
      <c r="X205" s="212"/>
      <c r="Y205" s="213"/>
    </row>
    <row r="206" spans="2:25" ht="48.75" customHeight="1" thickBot="1" x14ac:dyDescent="0.25">
      <c r="B206" s="999" t="s">
        <v>1350</v>
      </c>
      <c r="C206" s="999"/>
      <c r="D206" s="689">
        <v>9</v>
      </c>
      <c r="E206" s="689" t="s">
        <v>52</v>
      </c>
      <c r="F206" s="689">
        <v>7</v>
      </c>
      <c r="G206" s="690">
        <v>8</v>
      </c>
      <c r="H206" s="691">
        <v>7.75</v>
      </c>
      <c r="I206" s="689">
        <v>8.3333333333333339</v>
      </c>
      <c r="J206" s="689" t="s">
        <v>52</v>
      </c>
      <c r="K206" s="690">
        <v>7.9090909090909092</v>
      </c>
      <c r="L206" s="691" t="s">
        <v>52</v>
      </c>
      <c r="M206" s="689" t="s">
        <v>52</v>
      </c>
      <c r="N206" s="689" t="s">
        <v>52</v>
      </c>
      <c r="O206" s="689" t="s">
        <v>52</v>
      </c>
      <c r="V206" s="212"/>
      <c r="W206" s="658"/>
      <c r="X206" s="212"/>
      <c r="Y206" s="213"/>
    </row>
    <row r="207" spans="2:25" ht="48.75" customHeight="1" thickBot="1" x14ac:dyDescent="0.25">
      <c r="B207" s="1011" t="s">
        <v>1351</v>
      </c>
      <c r="C207" s="1011"/>
      <c r="D207" s="689">
        <v>8</v>
      </c>
      <c r="E207" s="689" t="s">
        <v>52</v>
      </c>
      <c r="F207" s="689">
        <v>9</v>
      </c>
      <c r="G207" s="690">
        <v>8.5</v>
      </c>
      <c r="H207" s="691">
        <v>7.5</v>
      </c>
      <c r="I207" s="689">
        <v>8.6666666666666661</v>
      </c>
      <c r="J207" s="689" t="s">
        <v>52</v>
      </c>
      <c r="K207" s="690">
        <v>7.8181818181818183</v>
      </c>
      <c r="L207" s="691" t="s">
        <v>52</v>
      </c>
      <c r="M207" s="689" t="s">
        <v>52</v>
      </c>
      <c r="N207" s="689" t="s">
        <v>52</v>
      </c>
      <c r="O207" s="689" t="s">
        <v>52</v>
      </c>
      <c r="V207" s="212"/>
      <c r="W207" s="658"/>
      <c r="X207" s="212"/>
      <c r="Y207" s="659"/>
    </row>
    <row r="208" spans="2:25" ht="48.75" customHeight="1" thickBot="1" x14ac:dyDescent="0.25">
      <c r="B208" s="1011" t="s">
        <v>1352</v>
      </c>
      <c r="C208" s="1011"/>
      <c r="D208" s="689">
        <v>9</v>
      </c>
      <c r="E208" s="689" t="s">
        <v>52</v>
      </c>
      <c r="F208" s="689">
        <v>7</v>
      </c>
      <c r="G208" s="690">
        <v>8</v>
      </c>
      <c r="H208" s="691">
        <v>8.625</v>
      </c>
      <c r="I208" s="689">
        <v>9</v>
      </c>
      <c r="J208" s="689" t="s">
        <v>52</v>
      </c>
      <c r="K208" s="690">
        <v>8.7272727272727266</v>
      </c>
      <c r="L208" s="691" t="s">
        <v>52</v>
      </c>
      <c r="M208" s="689" t="s">
        <v>52</v>
      </c>
      <c r="N208" s="689" t="s">
        <v>52</v>
      </c>
      <c r="O208" s="689" t="s">
        <v>52</v>
      </c>
      <c r="V208" s="212"/>
      <c r="W208" s="212"/>
      <c r="X208" s="212"/>
      <c r="Y208" s="659"/>
    </row>
    <row r="209" spans="2:25" ht="48.75" customHeight="1" thickBot="1" x14ac:dyDescent="0.25">
      <c r="B209" s="1011" t="s">
        <v>1353</v>
      </c>
      <c r="C209" s="1011"/>
      <c r="D209" s="689">
        <v>5</v>
      </c>
      <c r="E209" s="689" t="s">
        <v>52</v>
      </c>
      <c r="F209" s="689">
        <v>7</v>
      </c>
      <c r="G209" s="690">
        <v>6</v>
      </c>
      <c r="H209" s="691">
        <v>6.625</v>
      </c>
      <c r="I209" s="689">
        <v>9</v>
      </c>
      <c r="J209" s="689" t="s">
        <v>52</v>
      </c>
      <c r="K209" s="690">
        <v>7.2727272727272725</v>
      </c>
      <c r="L209" s="691" t="s">
        <v>52</v>
      </c>
      <c r="M209" s="689" t="s">
        <v>52</v>
      </c>
      <c r="N209" s="689" t="s">
        <v>52</v>
      </c>
      <c r="O209" s="689" t="s">
        <v>52</v>
      </c>
      <c r="V209" s="212"/>
      <c r="W209" s="658"/>
      <c r="X209" s="212"/>
      <c r="Y209" s="213"/>
    </row>
    <row r="210" spans="2:25" ht="48.75" customHeight="1" thickBot="1" x14ac:dyDescent="0.25">
      <c r="B210" s="1011" t="s">
        <v>1354</v>
      </c>
      <c r="C210" s="1011"/>
      <c r="D210" s="689">
        <v>9</v>
      </c>
      <c r="E210" s="689" t="s">
        <v>52</v>
      </c>
      <c r="F210" s="689">
        <v>7</v>
      </c>
      <c r="G210" s="690">
        <v>8</v>
      </c>
      <c r="H210" s="691">
        <v>7.875</v>
      </c>
      <c r="I210" s="689">
        <v>8.6666666666666661</v>
      </c>
      <c r="J210" s="689" t="s">
        <v>52</v>
      </c>
      <c r="K210" s="690">
        <v>8.0909090909090917</v>
      </c>
      <c r="L210" s="691" t="s">
        <v>52</v>
      </c>
      <c r="M210" s="689" t="s">
        <v>52</v>
      </c>
      <c r="N210" s="689" t="s">
        <v>52</v>
      </c>
      <c r="O210" s="689" t="s">
        <v>52</v>
      </c>
      <c r="V210" s="212"/>
      <c r="W210" s="212"/>
      <c r="X210" s="212"/>
      <c r="Y210" s="659"/>
    </row>
    <row r="211" spans="2:25" ht="48.75" customHeight="1" thickBot="1" x14ac:dyDescent="0.25">
      <c r="B211" s="1011" t="s">
        <v>1355</v>
      </c>
      <c r="C211" s="1011"/>
      <c r="D211" s="689">
        <v>9</v>
      </c>
      <c r="E211" s="689" t="s">
        <v>52</v>
      </c>
      <c r="F211" s="689">
        <v>7</v>
      </c>
      <c r="G211" s="690">
        <v>8</v>
      </c>
      <c r="H211" s="691">
        <v>8.5</v>
      </c>
      <c r="I211" s="689">
        <v>7.666666666666667</v>
      </c>
      <c r="J211" s="689" t="s">
        <v>52</v>
      </c>
      <c r="K211" s="690">
        <v>8.2727272727272734</v>
      </c>
      <c r="L211" s="691" t="s">
        <v>52</v>
      </c>
      <c r="M211" s="689" t="s">
        <v>52</v>
      </c>
      <c r="N211" s="689" t="s">
        <v>52</v>
      </c>
      <c r="O211" s="689" t="s">
        <v>52</v>
      </c>
      <c r="V211" s="212"/>
      <c r="W211" s="212"/>
      <c r="X211" s="212"/>
      <c r="Y211" s="213"/>
    </row>
    <row r="212" spans="2:25" ht="48.75" customHeight="1" thickBot="1" x14ac:dyDescent="0.25">
      <c r="B212" s="999" t="s">
        <v>1356</v>
      </c>
      <c r="C212" s="999"/>
      <c r="D212" s="689">
        <v>9</v>
      </c>
      <c r="E212" s="689" t="s">
        <v>52</v>
      </c>
      <c r="F212" s="689">
        <v>7</v>
      </c>
      <c r="G212" s="690">
        <v>8</v>
      </c>
      <c r="H212" s="691">
        <v>7.75</v>
      </c>
      <c r="I212" s="689">
        <v>8.6666666666666661</v>
      </c>
      <c r="J212" s="689" t="s">
        <v>52</v>
      </c>
      <c r="K212" s="690">
        <v>8</v>
      </c>
      <c r="L212" s="691" t="s">
        <v>52</v>
      </c>
      <c r="M212" s="689" t="s">
        <v>52</v>
      </c>
      <c r="N212" s="689" t="s">
        <v>52</v>
      </c>
      <c r="O212" s="689" t="s">
        <v>52</v>
      </c>
      <c r="V212" s="212"/>
      <c r="W212" s="658"/>
      <c r="X212" s="212"/>
      <c r="Y212" s="213"/>
    </row>
    <row r="213" spans="2:25" ht="48.75" customHeight="1" thickBot="1" x14ac:dyDescent="0.25">
      <c r="B213" s="1011" t="s">
        <v>1357</v>
      </c>
      <c r="C213" s="1011"/>
      <c r="D213" s="689">
        <v>9</v>
      </c>
      <c r="E213" s="689" t="s">
        <v>52</v>
      </c>
      <c r="F213" s="689">
        <v>8</v>
      </c>
      <c r="G213" s="690">
        <v>8.5</v>
      </c>
      <c r="H213" s="691">
        <v>8.375</v>
      </c>
      <c r="I213" s="689">
        <v>8.6666666666666661</v>
      </c>
      <c r="J213" s="689" t="s">
        <v>52</v>
      </c>
      <c r="K213" s="690">
        <v>8.454545454545455</v>
      </c>
      <c r="L213" s="691" t="s">
        <v>52</v>
      </c>
      <c r="M213" s="689" t="s">
        <v>52</v>
      </c>
      <c r="N213" s="689" t="s">
        <v>52</v>
      </c>
      <c r="O213" s="689" t="s">
        <v>52</v>
      </c>
      <c r="V213" s="212"/>
      <c r="W213" s="212"/>
      <c r="X213" s="212"/>
      <c r="Y213" s="659"/>
    </row>
    <row r="214" spans="2:25" ht="48.75" customHeight="1" thickBot="1" x14ac:dyDescent="0.25">
      <c r="B214" s="1011" t="s">
        <v>1358</v>
      </c>
      <c r="C214" s="1011"/>
      <c r="D214" s="437" t="s">
        <v>460</v>
      </c>
      <c r="E214" s="437" t="s">
        <v>52</v>
      </c>
      <c r="F214" s="437" t="s">
        <v>460</v>
      </c>
      <c r="G214" s="521" t="s">
        <v>460</v>
      </c>
      <c r="H214" s="691" t="s">
        <v>460</v>
      </c>
      <c r="I214" s="437" t="s">
        <v>460</v>
      </c>
      <c r="J214" s="437" t="s">
        <v>52</v>
      </c>
      <c r="K214" s="521" t="s">
        <v>460</v>
      </c>
      <c r="L214" s="545" t="s">
        <v>52</v>
      </c>
      <c r="M214" s="437" t="s">
        <v>52</v>
      </c>
      <c r="N214" s="437" t="s">
        <v>52</v>
      </c>
      <c r="O214" s="437" t="s">
        <v>52</v>
      </c>
      <c r="V214" s="212"/>
      <c r="W214" s="212"/>
      <c r="X214" s="212"/>
      <c r="Y214" s="213"/>
    </row>
    <row r="215" spans="2:25" ht="48.75" customHeight="1" thickBot="1" x14ac:dyDescent="0.25">
      <c r="B215" s="1011" t="s">
        <v>1359</v>
      </c>
      <c r="C215" s="1011"/>
      <c r="D215" s="437" t="s">
        <v>460</v>
      </c>
      <c r="E215" s="437" t="s">
        <v>52</v>
      </c>
      <c r="F215" s="437" t="s">
        <v>460</v>
      </c>
      <c r="G215" s="521" t="s">
        <v>460</v>
      </c>
      <c r="H215" s="691" t="s">
        <v>460</v>
      </c>
      <c r="I215" s="437" t="s">
        <v>460</v>
      </c>
      <c r="J215" s="437" t="s">
        <v>52</v>
      </c>
      <c r="K215" s="521" t="s">
        <v>460</v>
      </c>
      <c r="L215" s="545" t="s">
        <v>52</v>
      </c>
      <c r="M215" s="437" t="s">
        <v>52</v>
      </c>
      <c r="N215" s="437" t="s">
        <v>52</v>
      </c>
      <c r="O215" s="437" t="s">
        <v>52</v>
      </c>
      <c r="V215" s="212"/>
      <c r="W215" s="212"/>
      <c r="X215" s="212"/>
      <c r="Y215" s="213"/>
    </row>
    <row r="216" spans="2:25" ht="48.75" customHeight="1" thickBot="1" x14ac:dyDescent="0.25">
      <c r="B216" s="1011" t="s">
        <v>1360</v>
      </c>
      <c r="C216" s="1011"/>
      <c r="D216" s="689">
        <v>9</v>
      </c>
      <c r="E216" s="689" t="s">
        <v>52</v>
      </c>
      <c r="F216" s="689">
        <v>8</v>
      </c>
      <c r="G216" s="690">
        <v>8.5</v>
      </c>
      <c r="H216" s="691">
        <v>7.14</v>
      </c>
      <c r="I216" s="437">
        <v>9.5</v>
      </c>
      <c r="J216" s="689" t="s">
        <v>52</v>
      </c>
      <c r="K216" s="690">
        <v>7.67</v>
      </c>
      <c r="L216" s="691" t="s">
        <v>52</v>
      </c>
      <c r="M216" s="689" t="s">
        <v>52</v>
      </c>
      <c r="N216" s="689" t="s">
        <v>52</v>
      </c>
      <c r="O216" s="689" t="s">
        <v>52</v>
      </c>
      <c r="V216" s="212"/>
      <c r="W216" s="212"/>
      <c r="X216" s="212"/>
      <c r="Y216" s="213"/>
    </row>
    <row r="217" spans="2:25" ht="48.75" customHeight="1" thickBot="1" x14ac:dyDescent="0.25">
      <c r="B217" s="999" t="s">
        <v>1361</v>
      </c>
      <c r="C217" s="999"/>
      <c r="D217" s="689" t="s">
        <v>52</v>
      </c>
      <c r="E217" s="689" t="s">
        <v>52</v>
      </c>
      <c r="F217" s="689">
        <v>7</v>
      </c>
      <c r="G217" s="690">
        <v>7</v>
      </c>
      <c r="H217" s="691">
        <v>7.33</v>
      </c>
      <c r="I217" s="689">
        <v>10</v>
      </c>
      <c r="J217" s="689" t="s">
        <v>52</v>
      </c>
      <c r="K217" s="690">
        <v>7.71</v>
      </c>
      <c r="L217" s="691" t="s">
        <v>52</v>
      </c>
      <c r="M217" s="689" t="s">
        <v>52</v>
      </c>
      <c r="N217" s="689" t="s">
        <v>52</v>
      </c>
      <c r="O217" s="689" t="s">
        <v>52</v>
      </c>
      <c r="V217" s="212"/>
      <c r="W217" s="212"/>
      <c r="X217" s="212"/>
      <c r="Y217" s="213"/>
    </row>
    <row r="218" spans="2:25" ht="48.75" customHeight="1" thickBot="1" x14ac:dyDescent="0.25">
      <c r="B218" s="1011" t="s">
        <v>1362</v>
      </c>
      <c r="C218" s="1011"/>
      <c r="D218" s="437" t="s">
        <v>460</v>
      </c>
      <c r="E218" s="437" t="s">
        <v>52</v>
      </c>
      <c r="F218" s="437" t="s">
        <v>460</v>
      </c>
      <c r="G218" s="521" t="s">
        <v>460</v>
      </c>
      <c r="H218" s="545" t="s">
        <v>1051</v>
      </c>
      <c r="I218" s="437" t="s">
        <v>460</v>
      </c>
      <c r="J218" s="437" t="s">
        <v>52</v>
      </c>
      <c r="K218" s="521" t="s">
        <v>1017</v>
      </c>
      <c r="L218" s="545" t="s">
        <v>52</v>
      </c>
      <c r="M218" s="437" t="s">
        <v>52</v>
      </c>
      <c r="N218" s="437" t="s">
        <v>52</v>
      </c>
      <c r="O218" s="437" t="s">
        <v>52</v>
      </c>
      <c r="V218" s="212"/>
      <c r="W218" s="212"/>
      <c r="X218" s="212"/>
      <c r="Y218" s="213"/>
    </row>
    <row r="219" spans="2:25" ht="48.75" customHeight="1" thickBot="1" x14ac:dyDescent="0.25">
      <c r="B219" s="999" t="s">
        <v>1363</v>
      </c>
      <c r="C219" s="999"/>
      <c r="D219" s="437" t="s">
        <v>460</v>
      </c>
      <c r="E219" s="437" t="s">
        <v>52</v>
      </c>
      <c r="F219" s="437" t="s">
        <v>460</v>
      </c>
      <c r="G219" s="521" t="s">
        <v>460</v>
      </c>
      <c r="H219" s="545" t="s">
        <v>460</v>
      </c>
      <c r="I219" s="437" t="s">
        <v>460</v>
      </c>
      <c r="J219" s="437" t="s">
        <v>52</v>
      </c>
      <c r="K219" s="521" t="s">
        <v>460</v>
      </c>
      <c r="L219" s="545" t="s">
        <v>52</v>
      </c>
      <c r="M219" s="437" t="s">
        <v>52</v>
      </c>
      <c r="N219" s="437" t="s">
        <v>52</v>
      </c>
      <c r="O219" s="437" t="s">
        <v>52</v>
      </c>
      <c r="V219" s="212"/>
      <c r="W219" s="212"/>
      <c r="X219" s="212"/>
      <c r="Y219" s="213"/>
    </row>
    <row r="220" spans="2:25" ht="48.75" customHeight="1" thickBot="1" x14ac:dyDescent="0.25">
      <c r="B220" s="1011" t="s">
        <v>1364</v>
      </c>
      <c r="C220" s="1011"/>
      <c r="D220" s="437" t="s">
        <v>1019</v>
      </c>
      <c r="E220" s="437" t="s">
        <v>52</v>
      </c>
      <c r="F220" s="437" t="s">
        <v>1019</v>
      </c>
      <c r="G220" s="521" t="s">
        <v>1019</v>
      </c>
      <c r="H220" s="545" t="s">
        <v>1051</v>
      </c>
      <c r="I220" s="437" t="s">
        <v>460</v>
      </c>
      <c r="J220" s="437" t="s">
        <v>52</v>
      </c>
      <c r="K220" s="521" t="s">
        <v>460</v>
      </c>
      <c r="L220" s="545" t="s">
        <v>52</v>
      </c>
      <c r="M220" s="437" t="s">
        <v>52</v>
      </c>
      <c r="N220" s="437" t="s">
        <v>52</v>
      </c>
      <c r="O220" s="437" t="s">
        <v>52</v>
      </c>
      <c r="V220" s="212"/>
      <c r="W220" s="212"/>
      <c r="X220" s="212"/>
      <c r="Y220" s="213"/>
    </row>
    <row r="221" spans="2:25" ht="48.75" customHeight="1" thickBot="1" x14ac:dyDescent="0.25">
      <c r="B221" s="1011" t="s">
        <v>1365</v>
      </c>
      <c r="C221" s="1011"/>
      <c r="D221" s="437" t="s">
        <v>460</v>
      </c>
      <c r="E221" s="437" t="s">
        <v>52</v>
      </c>
      <c r="F221" s="437" t="s">
        <v>1019</v>
      </c>
      <c r="G221" s="521" t="s">
        <v>1045</v>
      </c>
      <c r="H221" s="545" t="s">
        <v>1263</v>
      </c>
      <c r="I221" s="437" t="s">
        <v>460</v>
      </c>
      <c r="J221" s="437" t="s">
        <v>52</v>
      </c>
      <c r="K221" s="521" t="s">
        <v>1312</v>
      </c>
      <c r="L221" s="545" t="s">
        <v>52</v>
      </c>
      <c r="M221" s="437" t="s">
        <v>52</v>
      </c>
      <c r="N221" s="437" t="s">
        <v>52</v>
      </c>
      <c r="O221" s="437" t="s">
        <v>52</v>
      </c>
      <c r="V221" s="212"/>
      <c r="W221" s="212"/>
      <c r="X221" s="212"/>
      <c r="Y221" s="213"/>
    </row>
    <row r="222" spans="2:25" ht="48.75" customHeight="1" thickBot="1" x14ac:dyDescent="0.25">
      <c r="B222" s="998" t="s">
        <v>1366</v>
      </c>
      <c r="C222" s="998"/>
      <c r="D222" s="546" t="s">
        <v>1065</v>
      </c>
      <c r="E222" s="546" t="s">
        <v>52</v>
      </c>
      <c r="F222" s="546" t="s">
        <v>1367</v>
      </c>
      <c r="G222" s="547" t="s">
        <v>1368</v>
      </c>
      <c r="H222" s="548" t="s">
        <v>1367</v>
      </c>
      <c r="I222" s="546" t="s">
        <v>1369</v>
      </c>
      <c r="J222" s="546" t="s">
        <v>52</v>
      </c>
      <c r="K222" s="547" t="s">
        <v>1370</v>
      </c>
      <c r="L222" s="548" t="s">
        <v>52</v>
      </c>
      <c r="M222" s="546" t="s">
        <v>52</v>
      </c>
      <c r="N222" s="546" t="s">
        <v>52</v>
      </c>
      <c r="O222" s="546" t="s">
        <v>52</v>
      </c>
      <c r="V222" s="212"/>
      <c r="W222" s="212"/>
      <c r="X222" s="212"/>
      <c r="Y222" s="213"/>
    </row>
    <row r="223" spans="2:25" x14ac:dyDescent="0.2">
      <c r="B223" s="925" t="s">
        <v>1483</v>
      </c>
      <c r="C223" s="925"/>
      <c r="E223" s="212"/>
    </row>
    <row r="224" spans="2:25" x14ac:dyDescent="0.2">
      <c r="B224" s="45" t="s">
        <v>461</v>
      </c>
      <c r="C224" s="45"/>
    </row>
    <row r="225" spans="1:30" ht="15.75" customHeight="1" x14ac:dyDescent="0.2">
      <c r="B225" s="54"/>
    </row>
    <row r="226" spans="1:30" ht="21.75" customHeight="1" x14ac:dyDescent="0.2">
      <c r="B226" s="40"/>
      <c r="C226" s="40"/>
      <c r="D226" s="40"/>
    </row>
    <row r="227" spans="1:30" x14ac:dyDescent="0.2">
      <c r="A227" s="210"/>
      <c r="B227" s="1067" t="s">
        <v>1073</v>
      </c>
      <c r="C227" s="1067"/>
      <c r="D227" s="1067"/>
      <c r="E227" s="1067"/>
      <c r="F227" s="1067"/>
      <c r="G227" s="1067"/>
      <c r="H227" s="1067"/>
      <c r="I227" s="1067"/>
      <c r="J227" s="1067"/>
      <c r="K227" s="1067"/>
      <c r="L227" s="1067"/>
      <c r="M227" s="1067"/>
      <c r="N227" s="1067"/>
    </row>
    <row r="228" spans="1:30" x14ac:dyDescent="0.2">
      <c r="A228" s="210"/>
      <c r="B228" s="1043" t="s">
        <v>2</v>
      </c>
      <c r="C228" s="1043"/>
      <c r="D228" s="506" t="s">
        <v>456</v>
      </c>
      <c r="E228" s="506" t="s">
        <v>336</v>
      </c>
      <c r="F228" s="506" t="s">
        <v>454</v>
      </c>
      <c r="L228" s="779"/>
      <c r="M228" s="779"/>
      <c r="N228" s="779"/>
      <c r="O228" s="779"/>
    </row>
    <row r="229" spans="1:30" ht="15" customHeight="1" thickBot="1" x14ac:dyDescent="0.25">
      <c r="A229" s="210"/>
      <c r="B229" s="1044" t="s">
        <v>7</v>
      </c>
      <c r="C229" s="1044"/>
      <c r="D229" s="246">
        <v>158</v>
      </c>
      <c r="E229" s="246">
        <f>H236</f>
        <v>10</v>
      </c>
      <c r="F229" s="242">
        <f>E229/D229</f>
        <v>6.3291139240506333E-2</v>
      </c>
      <c r="H229" s="650"/>
      <c r="I229" s="650"/>
      <c r="J229" s="683"/>
      <c r="N229" s="779"/>
      <c r="O229" s="779"/>
    </row>
    <row r="230" spans="1:30" ht="15" customHeight="1" thickBot="1" x14ac:dyDescent="0.25">
      <c r="A230" s="210"/>
      <c r="B230" s="1005" t="s">
        <v>8</v>
      </c>
      <c r="C230" s="1005"/>
      <c r="D230" s="289">
        <v>235</v>
      </c>
      <c r="E230" s="289">
        <f>L236</f>
        <v>19</v>
      </c>
      <c r="F230" s="242">
        <f>E230/D230</f>
        <v>8.085106382978724E-2</v>
      </c>
      <c r="H230" s="650"/>
      <c r="I230" s="650"/>
      <c r="J230" s="683"/>
      <c r="N230" s="13"/>
      <c r="O230" s="13"/>
    </row>
    <row r="231" spans="1:30" ht="15" customHeight="1" thickBot="1" x14ac:dyDescent="0.25">
      <c r="A231" s="210"/>
      <c r="B231" s="1006" t="s">
        <v>1030</v>
      </c>
      <c r="C231" s="1006"/>
      <c r="D231" s="269">
        <v>21</v>
      </c>
      <c r="E231" s="269">
        <f>P236</f>
        <v>2</v>
      </c>
      <c r="F231" s="243">
        <f>E231/D231</f>
        <v>9.5238095238095233E-2</v>
      </c>
      <c r="H231" s="650"/>
      <c r="I231" s="650"/>
      <c r="J231" s="683"/>
      <c r="N231" s="779"/>
      <c r="O231" s="779"/>
    </row>
    <row r="232" spans="1:30" x14ac:dyDescent="0.2">
      <c r="B232" s="37"/>
      <c r="D232" s="544"/>
    </row>
    <row r="233" spans="1:30" ht="15" customHeight="1" x14ac:dyDescent="0.2">
      <c r="B233" s="232"/>
      <c r="E233" s="1007" t="s">
        <v>455</v>
      </c>
      <c r="F233" s="1007"/>
      <c r="G233" s="1007"/>
      <c r="H233" s="1007"/>
      <c r="I233" s="1007"/>
      <c r="J233" s="1007"/>
      <c r="K233" s="1007"/>
      <c r="L233" s="1007"/>
      <c r="M233" s="1007"/>
      <c r="N233" s="1007"/>
      <c r="O233" s="1007"/>
      <c r="P233" s="1007"/>
    </row>
    <row r="234" spans="1:30" ht="21.75" customHeight="1" x14ac:dyDescent="0.2">
      <c r="B234" s="1008" t="s">
        <v>1031</v>
      </c>
      <c r="C234" s="1008"/>
      <c r="D234" s="1008"/>
      <c r="E234" s="747" t="s">
        <v>7</v>
      </c>
      <c r="F234" s="747"/>
      <c r="G234" s="747"/>
      <c r="H234" s="747"/>
      <c r="I234" s="747" t="s">
        <v>8</v>
      </c>
      <c r="J234" s="747"/>
      <c r="K234" s="747"/>
      <c r="L234" s="747"/>
      <c r="M234" s="747" t="s">
        <v>1026</v>
      </c>
      <c r="N234" s="747"/>
      <c r="O234" s="747"/>
      <c r="P234" s="747"/>
    </row>
    <row r="235" spans="1:30" ht="33" customHeight="1" x14ac:dyDescent="0.2">
      <c r="B235" s="1008"/>
      <c r="C235" s="1008"/>
      <c r="D235" s="1008"/>
      <c r="E235" s="207" t="s">
        <v>849</v>
      </c>
      <c r="F235" s="207" t="s">
        <v>850</v>
      </c>
      <c r="G235" s="207" t="s">
        <v>1008</v>
      </c>
      <c r="H235" s="207" t="s">
        <v>1016</v>
      </c>
      <c r="I235" s="504" t="s">
        <v>849</v>
      </c>
      <c r="J235" s="207" t="s">
        <v>850</v>
      </c>
      <c r="K235" s="207" t="s">
        <v>1008</v>
      </c>
      <c r="L235" s="207" t="s">
        <v>1016</v>
      </c>
      <c r="M235" s="504" t="s">
        <v>849</v>
      </c>
      <c r="N235" s="207" t="s">
        <v>850</v>
      </c>
      <c r="O235" s="207" t="s">
        <v>1008</v>
      </c>
      <c r="P235" s="207" t="s">
        <v>1016</v>
      </c>
    </row>
    <row r="236" spans="1:30" ht="18.75" customHeight="1" x14ac:dyDescent="0.2">
      <c r="B236" s="1009" t="s">
        <v>454</v>
      </c>
      <c r="C236" s="1009"/>
      <c r="D236" s="1009"/>
      <c r="E236" s="507">
        <v>3</v>
      </c>
      <c r="F236" s="507">
        <v>7</v>
      </c>
      <c r="G236" s="507">
        <v>0</v>
      </c>
      <c r="H236" s="507">
        <f>SUM(E236:G236)</f>
        <v>10</v>
      </c>
      <c r="I236" s="432">
        <v>14</v>
      </c>
      <c r="J236" s="507">
        <v>5</v>
      </c>
      <c r="K236" s="507">
        <v>0</v>
      </c>
      <c r="L236" s="507">
        <f>SUM(I236:K236)</f>
        <v>19</v>
      </c>
      <c r="M236" s="432">
        <v>0</v>
      </c>
      <c r="N236" s="507">
        <v>2</v>
      </c>
      <c r="O236" s="507">
        <v>0</v>
      </c>
      <c r="P236" s="507">
        <f>SUM(M236:O236)</f>
        <v>2</v>
      </c>
    </row>
    <row r="237" spans="1:30" ht="74.25" customHeight="1" thickBot="1" x14ac:dyDescent="0.25">
      <c r="B237" s="1010" t="s">
        <v>1084</v>
      </c>
      <c r="C237" s="1010"/>
      <c r="D237" s="1010"/>
      <c r="E237" s="437" t="s">
        <v>1371</v>
      </c>
      <c r="F237" s="437" t="s">
        <v>1372</v>
      </c>
      <c r="G237" s="437"/>
      <c r="H237" s="521" t="s">
        <v>1373</v>
      </c>
      <c r="I237" s="545" t="s">
        <v>1374</v>
      </c>
      <c r="J237" s="437" t="s">
        <v>1375</v>
      </c>
      <c r="K237" s="437"/>
      <c r="L237" s="521" t="s">
        <v>1376</v>
      </c>
      <c r="M237" s="545"/>
      <c r="N237" s="437" t="s">
        <v>1116</v>
      </c>
      <c r="O237" s="437"/>
      <c r="P237" s="521" t="s">
        <v>1116</v>
      </c>
      <c r="S237" s="212"/>
      <c r="T237" s="212"/>
      <c r="U237" s="212"/>
      <c r="V237" s="213"/>
      <c r="W237" s="212"/>
      <c r="X237" s="212"/>
      <c r="Y237" s="212"/>
      <c r="Z237" s="213"/>
      <c r="AA237" s="212"/>
      <c r="AB237" s="212"/>
      <c r="AC237" s="212"/>
      <c r="AD237" s="213"/>
    </row>
    <row r="238" spans="1:30" ht="34.5" customHeight="1" thickBot="1" x14ac:dyDescent="0.25">
      <c r="B238" s="1004" t="s">
        <v>1075</v>
      </c>
      <c r="C238" s="1004"/>
      <c r="D238" s="1004"/>
      <c r="E238" s="546" t="s">
        <v>460</v>
      </c>
      <c r="F238" s="546" t="s">
        <v>1050</v>
      </c>
      <c r="G238" s="546"/>
      <c r="H238" s="547" t="s">
        <v>1377</v>
      </c>
      <c r="I238" s="548" t="s">
        <v>1020</v>
      </c>
      <c r="J238" s="546" t="s">
        <v>1058</v>
      </c>
      <c r="K238" s="546"/>
      <c r="L238" s="547" t="s">
        <v>1378</v>
      </c>
      <c r="M238" s="548"/>
      <c r="N238" s="546" t="s">
        <v>1020</v>
      </c>
      <c r="O238" s="546"/>
      <c r="P238" s="547" t="s">
        <v>1020</v>
      </c>
      <c r="S238" s="212"/>
      <c r="T238" s="212"/>
      <c r="U238" s="212"/>
      <c r="V238" s="213"/>
      <c r="W238" s="212"/>
      <c r="X238" s="212"/>
      <c r="Y238" s="212"/>
      <c r="Z238" s="213"/>
      <c r="AA238" s="212"/>
      <c r="AB238" s="212"/>
      <c r="AC238" s="212"/>
      <c r="AD238" s="213"/>
    </row>
    <row r="239" spans="1:30" ht="54.75" customHeight="1" thickBot="1" x14ac:dyDescent="0.25">
      <c r="A239" s="467"/>
      <c r="B239" s="1000" t="s">
        <v>1085</v>
      </c>
      <c r="C239" s="997" t="s">
        <v>1076</v>
      </c>
      <c r="D239" s="997"/>
      <c r="E239" s="549" t="s">
        <v>1019</v>
      </c>
      <c r="F239" s="549" t="s">
        <v>1379</v>
      </c>
      <c r="G239" s="549"/>
      <c r="H239" s="550" t="s">
        <v>1272</v>
      </c>
      <c r="I239" s="551" t="s">
        <v>1380</v>
      </c>
      <c r="J239" s="549" t="s">
        <v>1272</v>
      </c>
      <c r="K239" s="549"/>
      <c r="L239" s="550" t="s">
        <v>1381</v>
      </c>
      <c r="M239" s="551"/>
      <c r="N239" s="549" t="s">
        <v>1045</v>
      </c>
      <c r="O239" s="549"/>
      <c r="P239" s="550" t="s">
        <v>1045</v>
      </c>
      <c r="S239" s="212"/>
      <c r="T239" s="212"/>
      <c r="U239" s="212"/>
      <c r="V239" s="213"/>
      <c r="W239" s="212"/>
      <c r="X239" s="212"/>
      <c r="Y239" s="212"/>
      <c r="Z239" s="213"/>
      <c r="AA239" s="212"/>
      <c r="AB239" s="212"/>
      <c r="AC239" s="212"/>
      <c r="AD239" s="213"/>
    </row>
    <row r="240" spans="1:30" ht="44.25" customHeight="1" thickBot="1" x14ac:dyDescent="0.25">
      <c r="B240" s="1001"/>
      <c r="C240" s="999" t="s">
        <v>1077</v>
      </c>
      <c r="D240" s="999"/>
      <c r="E240" s="437" t="s">
        <v>1044</v>
      </c>
      <c r="F240" s="437" t="s">
        <v>1303</v>
      </c>
      <c r="G240" s="437"/>
      <c r="H240" s="521" t="s">
        <v>1059</v>
      </c>
      <c r="I240" s="545" t="s">
        <v>1267</v>
      </c>
      <c r="J240" s="437" t="s">
        <v>1059</v>
      </c>
      <c r="K240" s="437"/>
      <c r="L240" s="521" t="s">
        <v>1382</v>
      </c>
      <c r="M240" s="545"/>
      <c r="N240" s="437" t="s">
        <v>1045</v>
      </c>
      <c r="O240" s="437"/>
      <c r="P240" s="521" t="s">
        <v>1045</v>
      </c>
      <c r="S240" s="212"/>
      <c r="T240" s="212"/>
      <c r="U240" s="212"/>
      <c r="V240" s="213"/>
      <c r="W240" s="212"/>
      <c r="X240" s="212"/>
      <c r="Y240" s="212"/>
      <c r="Z240" s="213"/>
      <c r="AA240" s="212"/>
      <c r="AB240" s="212"/>
      <c r="AC240" s="212"/>
      <c r="AD240" s="213"/>
    </row>
    <row r="241" spans="2:30" ht="37.5" customHeight="1" thickBot="1" x14ac:dyDescent="0.25">
      <c r="B241" s="1001"/>
      <c r="C241" s="999" t="s">
        <v>1078</v>
      </c>
      <c r="D241" s="999"/>
      <c r="E241" s="437" t="s">
        <v>1019</v>
      </c>
      <c r="F241" s="437" t="s">
        <v>1297</v>
      </c>
      <c r="G241" s="437"/>
      <c r="H241" s="521" t="s">
        <v>1383</v>
      </c>
      <c r="I241" s="545" t="s">
        <v>1384</v>
      </c>
      <c r="J241" s="437" t="s">
        <v>1019</v>
      </c>
      <c r="K241" s="437"/>
      <c r="L241" s="521" t="s">
        <v>1385</v>
      </c>
      <c r="M241" s="545"/>
      <c r="N241" s="437" t="s">
        <v>1019</v>
      </c>
      <c r="O241" s="437"/>
      <c r="P241" s="521" t="s">
        <v>1019</v>
      </c>
      <c r="S241" s="212"/>
      <c r="T241" s="212"/>
      <c r="U241" s="212"/>
      <c r="V241" s="213"/>
      <c r="W241" s="212"/>
      <c r="X241" s="212"/>
      <c r="Y241" s="212"/>
      <c r="Z241" s="213"/>
      <c r="AA241" s="212"/>
      <c r="AB241" s="212"/>
      <c r="AC241" s="212"/>
      <c r="AD241" s="213"/>
    </row>
    <row r="242" spans="2:30" ht="38.25" customHeight="1" thickBot="1" x14ac:dyDescent="0.25">
      <c r="B242" s="1001"/>
      <c r="C242" s="999" t="s">
        <v>1079</v>
      </c>
      <c r="D242" s="999"/>
      <c r="E242" s="437" t="s">
        <v>1044</v>
      </c>
      <c r="F242" s="437" t="s">
        <v>1386</v>
      </c>
      <c r="G242" s="437"/>
      <c r="H242" s="521" t="s">
        <v>1045</v>
      </c>
      <c r="I242" s="545" t="s">
        <v>1334</v>
      </c>
      <c r="J242" s="437" t="s">
        <v>1059</v>
      </c>
      <c r="K242" s="437"/>
      <c r="L242" s="521" t="s">
        <v>1387</v>
      </c>
      <c r="M242" s="545"/>
      <c r="N242" s="437" t="s">
        <v>1019</v>
      </c>
      <c r="O242" s="437"/>
      <c r="P242" s="521" t="s">
        <v>1019</v>
      </c>
      <c r="S242" s="212"/>
      <c r="T242" s="212"/>
      <c r="U242" s="212"/>
      <c r="V242" s="213"/>
      <c r="W242" s="212"/>
      <c r="X242" s="212"/>
      <c r="Y242" s="212"/>
      <c r="Z242" s="213"/>
      <c r="AA242" s="212"/>
      <c r="AB242" s="212"/>
      <c r="AC242" s="212"/>
      <c r="AD242" s="213"/>
    </row>
    <row r="243" spans="2:30" ht="51.75" customHeight="1" thickBot="1" x14ac:dyDescent="0.25">
      <c r="B243" s="1002"/>
      <c r="C243" s="998" t="s">
        <v>1080</v>
      </c>
      <c r="D243" s="998"/>
      <c r="E243" s="552" t="s">
        <v>1044</v>
      </c>
      <c r="F243" s="552" t="s">
        <v>1303</v>
      </c>
      <c r="G243" s="552"/>
      <c r="H243" s="553" t="s">
        <v>1059</v>
      </c>
      <c r="I243" s="554" t="s">
        <v>1386</v>
      </c>
      <c r="J243" s="552" t="s">
        <v>1059</v>
      </c>
      <c r="K243" s="552"/>
      <c r="L243" s="553" t="s">
        <v>1388</v>
      </c>
      <c r="M243" s="554"/>
      <c r="N243" s="552" t="s">
        <v>460</v>
      </c>
      <c r="O243" s="552"/>
      <c r="P243" s="553" t="s">
        <v>460</v>
      </c>
      <c r="S243" s="212"/>
      <c r="T243" s="212"/>
      <c r="U243" s="212"/>
      <c r="V243" s="213"/>
      <c r="W243" s="212"/>
      <c r="X243" s="212"/>
      <c r="Y243" s="212"/>
      <c r="Z243" s="213"/>
      <c r="AA243" s="212"/>
      <c r="AB243" s="212"/>
      <c r="AC243" s="212"/>
      <c r="AD243" s="213"/>
    </row>
    <row r="244" spans="2:30" ht="32.25" customHeight="1" thickBot="1" x14ac:dyDescent="0.25">
      <c r="B244" s="1000" t="s">
        <v>1086</v>
      </c>
      <c r="C244" s="997" t="s">
        <v>1095</v>
      </c>
      <c r="D244" s="997"/>
      <c r="E244" s="549" t="s">
        <v>1117</v>
      </c>
      <c r="F244" s="549" t="s">
        <v>1389</v>
      </c>
      <c r="G244" s="549"/>
      <c r="H244" s="550" t="s">
        <v>1390</v>
      </c>
      <c r="I244" s="551" t="s">
        <v>1391</v>
      </c>
      <c r="J244" s="549" t="s">
        <v>1392</v>
      </c>
      <c r="K244" s="549"/>
      <c r="L244" s="550" t="s">
        <v>1120</v>
      </c>
      <c r="M244" s="551"/>
      <c r="N244" s="549" t="s">
        <v>1393</v>
      </c>
      <c r="O244" s="549"/>
      <c r="P244" s="550" t="s">
        <v>1393</v>
      </c>
      <c r="S244" s="212"/>
      <c r="T244" s="212"/>
      <c r="U244" s="212"/>
      <c r="V244" s="213"/>
      <c r="W244" s="212"/>
      <c r="X244" s="212"/>
      <c r="Y244" s="212"/>
      <c r="Z244" s="213"/>
      <c r="AA244" s="212"/>
      <c r="AB244" s="212"/>
      <c r="AC244" s="212"/>
      <c r="AD244" s="213"/>
    </row>
    <row r="245" spans="2:30" ht="25.5" customHeight="1" thickBot="1" x14ac:dyDescent="0.25">
      <c r="B245" s="1001"/>
      <c r="C245" s="999" t="s">
        <v>1096</v>
      </c>
      <c r="D245" s="999"/>
      <c r="E245" s="437" t="s">
        <v>1117</v>
      </c>
      <c r="F245" s="437" t="s">
        <v>1394</v>
      </c>
      <c r="G245" s="437"/>
      <c r="H245" s="521" t="s">
        <v>1395</v>
      </c>
      <c r="I245" s="545" t="s">
        <v>1389</v>
      </c>
      <c r="J245" s="437" t="s">
        <v>1392</v>
      </c>
      <c r="K245" s="437"/>
      <c r="L245" s="521" t="s">
        <v>1396</v>
      </c>
      <c r="M245" s="545"/>
      <c r="N245" s="437" t="s">
        <v>1393</v>
      </c>
      <c r="O245" s="437"/>
      <c r="P245" s="521" t="s">
        <v>1393</v>
      </c>
      <c r="S245" s="212"/>
      <c r="T245" s="212"/>
      <c r="U245" s="212"/>
      <c r="V245" s="213"/>
      <c r="W245" s="212"/>
      <c r="X245" s="212"/>
      <c r="Y245" s="212"/>
      <c r="Z245" s="213"/>
      <c r="AA245" s="212"/>
      <c r="AB245" s="212"/>
      <c r="AC245" s="212"/>
      <c r="AD245" s="213"/>
    </row>
    <row r="246" spans="2:30" ht="24" customHeight="1" thickBot="1" x14ac:dyDescent="0.25">
      <c r="B246" s="1001"/>
      <c r="C246" s="999" t="s">
        <v>1097</v>
      </c>
      <c r="D246" s="999"/>
      <c r="E246" s="437" t="s">
        <v>1117</v>
      </c>
      <c r="F246" s="437" t="s">
        <v>1389</v>
      </c>
      <c r="G246" s="437"/>
      <c r="H246" s="521" t="s">
        <v>1390</v>
      </c>
      <c r="I246" s="545" t="s">
        <v>1397</v>
      </c>
      <c r="J246" s="437" t="s">
        <v>1398</v>
      </c>
      <c r="K246" s="437"/>
      <c r="L246" s="521" t="s">
        <v>1399</v>
      </c>
      <c r="M246" s="545"/>
      <c r="N246" s="437" t="s">
        <v>1393</v>
      </c>
      <c r="O246" s="437"/>
      <c r="P246" s="521" t="s">
        <v>1393</v>
      </c>
      <c r="S246" s="212"/>
      <c r="T246" s="212"/>
      <c r="U246" s="212"/>
      <c r="V246" s="213"/>
      <c r="W246" s="212"/>
      <c r="X246" s="212"/>
      <c r="Y246" s="212"/>
      <c r="Z246" s="213"/>
      <c r="AA246" s="212"/>
      <c r="AB246" s="212"/>
      <c r="AC246" s="212"/>
      <c r="AD246" s="213"/>
    </row>
    <row r="247" spans="2:30" ht="28.5" customHeight="1" thickBot="1" x14ac:dyDescent="0.25">
      <c r="B247" s="1001"/>
      <c r="C247" s="999" t="s">
        <v>1098</v>
      </c>
      <c r="D247" s="999"/>
      <c r="E247" s="437" t="s">
        <v>1117</v>
      </c>
      <c r="F247" s="437" t="s">
        <v>1389</v>
      </c>
      <c r="G247" s="437"/>
      <c r="H247" s="521" t="s">
        <v>1390</v>
      </c>
      <c r="I247" s="545" t="s">
        <v>1391</v>
      </c>
      <c r="J247" s="437" t="s">
        <v>1392</v>
      </c>
      <c r="K247" s="437"/>
      <c r="L247" s="521" t="s">
        <v>1120</v>
      </c>
      <c r="M247" s="545"/>
      <c r="N247" s="437" t="s">
        <v>1393</v>
      </c>
      <c r="O247" s="437"/>
      <c r="P247" s="521" t="s">
        <v>1393</v>
      </c>
      <c r="S247" s="212"/>
      <c r="T247" s="212"/>
      <c r="U247" s="212"/>
      <c r="V247" s="213"/>
      <c r="W247" s="212"/>
      <c r="X247" s="212"/>
      <c r="Y247" s="212"/>
      <c r="Z247" s="213"/>
      <c r="AA247" s="212"/>
      <c r="AB247" s="212"/>
      <c r="AC247" s="212"/>
      <c r="AD247" s="213"/>
    </row>
    <row r="248" spans="2:30" ht="32.25" customHeight="1" thickBot="1" x14ac:dyDescent="0.25">
      <c r="B248" s="1002"/>
      <c r="C248" s="998" t="s">
        <v>1099</v>
      </c>
      <c r="D248" s="998"/>
      <c r="E248" s="552" t="s">
        <v>1117</v>
      </c>
      <c r="F248" s="552" t="s">
        <v>1400</v>
      </c>
      <c r="G248" s="552"/>
      <c r="H248" s="553" t="s">
        <v>1401</v>
      </c>
      <c r="I248" s="554" t="s">
        <v>1401</v>
      </c>
      <c r="J248" s="552" t="s">
        <v>1392</v>
      </c>
      <c r="K248" s="552"/>
      <c r="L248" s="553" t="s">
        <v>1402</v>
      </c>
      <c r="M248" s="554"/>
      <c r="N248" s="552" t="s">
        <v>1393</v>
      </c>
      <c r="O248" s="552"/>
      <c r="P248" s="553" t="s">
        <v>1393</v>
      </c>
      <c r="S248" s="212"/>
      <c r="T248" s="212"/>
      <c r="U248" s="212"/>
      <c r="V248" s="213"/>
      <c r="W248" s="212"/>
      <c r="X248" s="212"/>
      <c r="Y248" s="212"/>
      <c r="Z248" s="213"/>
      <c r="AA248" s="212"/>
      <c r="AB248" s="212"/>
      <c r="AC248" s="212"/>
      <c r="AD248" s="213"/>
    </row>
    <row r="249" spans="2:30" ht="28.5" customHeight="1" thickBot="1" x14ac:dyDescent="0.25">
      <c r="B249" s="1000" t="s">
        <v>1087</v>
      </c>
      <c r="C249" s="997" t="s">
        <v>1100</v>
      </c>
      <c r="D249" s="997"/>
      <c r="E249" s="549" t="s">
        <v>1403</v>
      </c>
      <c r="F249" s="549" t="s">
        <v>1400</v>
      </c>
      <c r="G249" s="549"/>
      <c r="H249" s="550" t="s">
        <v>1404</v>
      </c>
      <c r="I249" s="551" t="s">
        <v>1405</v>
      </c>
      <c r="J249" s="549" t="s">
        <v>1392</v>
      </c>
      <c r="K249" s="549"/>
      <c r="L249" s="550" t="s">
        <v>1399</v>
      </c>
      <c r="M249" s="551"/>
      <c r="N249" s="549" t="s">
        <v>1397</v>
      </c>
      <c r="O249" s="549"/>
      <c r="P249" s="550" t="s">
        <v>1397</v>
      </c>
      <c r="S249" s="212"/>
      <c r="T249" s="212"/>
      <c r="U249" s="212"/>
      <c r="V249" s="213"/>
      <c r="W249" s="212"/>
      <c r="X249" s="212"/>
      <c r="Y249" s="212"/>
      <c r="Z249" s="213"/>
      <c r="AA249" s="212"/>
      <c r="AB249" s="212"/>
      <c r="AC249" s="212"/>
      <c r="AD249" s="213"/>
    </row>
    <row r="250" spans="2:30" ht="26.25" customHeight="1" thickBot="1" x14ac:dyDescent="0.25">
      <c r="B250" s="1001"/>
      <c r="C250" s="999" t="s">
        <v>1101</v>
      </c>
      <c r="D250" s="999"/>
      <c r="E250" s="437" t="s">
        <v>1403</v>
      </c>
      <c r="F250" s="437" t="s">
        <v>1405</v>
      </c>
      <c r="G250" s="437"/>
      <c r="H250" s="521" t="s">
        <v>1392</v>
      </c>
      <c r="I250" s="545" t="s">
        <v>1406</v>
      </c>
      <c r="J250" s="437" t="s">
        <v>1404</v>
      </c>
      <c r="K250" s="437"/>
      <c r="L250" s="521" t="s">
        <v>1407</v>
      </c>
      <c r="M250" s="545"/>
      <c r="N250" s="437" t="s">
        <v>1393</v>
      </c>
      <c r="O250" s="437"/>
      <c r="P250" s="521" t="s">
        <v>1393</v>
      </c>
      <c r="S250" s="212"/>
      <c r="T250" s="212"/>
      <c r="U250" s="212"/>
      <c r="V250" s="213"/>
      <c r="W250" s="212"/>
      <c r="X250" s="212"/>
      <c r="Y250" s="212"/>
      <c r="Z250" s="213"/>
      <c r="AA250" s="212"/>
      <c r="AB250" s="212"/>
      <c r="AC250" s="212"/>
      <c r="AD250" s="213"/>
    </row>
    <row r="251" spans="2:30" ht="27" customHeight="1" thickBot="1" x14ac:dyDescent="0.25">
      <c r="B251" s="1001"/>
      <c r="C251" s="999" t="s">
        <v>1474</v>
      </c>
      <c r="D251" s="999"/>
      <c r="E251" s="437" t="s">
        <v>1403</v>
      </c>
      <c r="F251" s="437" t="s">
        <v>1400</v>
      </c>
      <c r="G251" s="437"/>
      <c r="H251" s="521" t="s">
        <v>1404</v>
      </c>
      <c r="I251" s="545" t="s">
        <v>1408</v>
      </c>
      <c r="J251" s="437" t="s">
        <v>1404</v>
      </c>
      <c r="K251" s="437"/>
      <c r="L251" s="521" t="s">
        <v>1409</v>
      </c>
      <c r="M251" s="545"/>
      <c r="N251" s="437" t="s">
        <v>1397</v>
      </c>
      <c r="O251" s="437"/>
      <c r="P251" s="521" t="s">
        <v>1397</v>
      </c>
      <c r="S251" s="212"/>
      <c r="T251" s="212"/>
      <c r="U251" s="212"/>
      <c r="V251" s="213"/>
      <c r="W251" s="212"/>
      <c r="X251" s="212"/>
      <c r="Y251" s="212"/>
      <c r="Z251" s="213"/>
      <c r="AA251" s="212"/>
      <c r="AB251" s="212"/>
      <c r="AC251" s="212"/>
      <c r="AD251" s="213"/>
    </row>
    <row r="252" spans="2:30" ht="27" customHeight="1" thickBot="1" x14ac:dyDescent="0.25">
      <c r="B252" s="1001"/>
      <c r="C252" s="999" t="s">
        <v>1475</v>
      </c>
      <c r="D252" s="999"/>
      <c r="E252" s="437" t="s">
        <v>1403</v>
      </c>
      <c r="F252" s="437" t="s">
        <v>1400</v>
      </c>
      <c r="G252" s="437"/>
      <c r="H252" s="521" t="s">
        <v>1404</v>
      </c>
      <c r="I252" s="545" t="s">
        <v>1397</v>
      </c>
      <c r="J252" s="437" t="s">
        <v>1404</v>
      </c>
      <c r="K252" s="437"/>
      <c r="L252" s="521" t="s">
        <v>1410</v>
      </c>
      <c r="M252" s="545"/>
      <c r="N252" s="437" t="s">
        <v>1397</v>
      </c>
      <c r="O252" s="437"/>
      <c r="P252" s="521" t="s">
        <v>1397</v>
      </c>
      <c r="S252" s="212"/>
      <c r="T252" s="212"/>
      <c r="U252" s="212"/>
      <c r="V252" s="213"/>
      <c r="W252" s="212"/>
      <c r="X252" s="212"/>
      <c r="Y252" s="212"/>
      <c r="Z252" s="213"/>
      <c r="AA252" s="212"/>
      <c r="AB252" s="212"/>
      <c r="AC252" s="212"/>
      <c r="AD252" s="213"/>
    </row>
    <row r="253" spans="2:30" ht="27" customHeight="1" thickBot="1" x14ac:dyDescent="0.25">
      <c r="B253" s="1002"/>
      <c r="C253" s="998" t="s">
        <v>1102</v>
      </c>
      <c r="D253" s="998"/>
      <c r="E253" s="552" t="s">
        <v>1403</v>
      </c>
      <c r="F253" s="552" t="s">
        <v>1405</v>
      </c>
      <c r="G253" s="552"/>
      <c r="H253" s="553" t="s">
        <v>1392</v>
      </c>
      <c r="I253" s="554" t="s">
        <v>1397</v>
      </c>
      <c r="J253" s="552" t="s">
        <v>1404</v>
      </c>
      <c r="K253" s="552"/>
      <c r="L253" s="553" t="s">
        <v>1410</v>
      </c>
      <c r="M253" s="554"/>
      <c r="N253" s="552" t="s">
        <v>1393</v>
      </c>
      <c r="O253" s="552"/>
      <c r="P253" s="553" t="s">
        <v>1393</v>
      </c>
      <c r="S253" s="212"/>
      <c r="T253" s="212"/>
      <c r="U253" s="212"/>
      <c r="V253" s="213"/>
      <c r="W253" s="212"/>
      <c r="X253" s="212"/>
      <c r="Y253" s="212"/>
      <c r="Z253" s="213"/>
      <c r="AA253" s="212"/>
      <c r="AB253" s="212"/>
      <c r="AC253" s="212"/>
      <c r="AD253" s="213"/>
    </row>
    <row r="254" spans="2:30" ht="28.5" customHeight="1" thickBot="1" x14ac:dyDescent="0.25">
      <c r="B254" s="1000" t="s">
        <v>1088</v>
      </c>
      <c r="C254" s="997" t="s">
        <v>1475</v>
      </c>
      <c r="D254" s="997"/>
      <c r="E254" s="549" t="s">
        <v>1411</v>
      </c>
      <c r="F254" s="549" t="s">
        <v>1405</v>
      </c>
      <c r="G254" s="549"/>
      <c r="H254" s="550" t="s">
        <v>1404</v>
      </c>
      <c r="I254" s="551" t="s">
        <v>1412</v>
      </c>
      <c r="J254" s="549" t="s">
        <v>1404</v>
      </c>
      <c r="K254" s="549"/>
      <c r="L254" s="550" t="s">
        <v>1399</v>
      </c>
      <c r="M254" s="551"/>
      <c r="N254" s="549" t="s">
        <v>1393</v>
      </c>
      <c r="O254" s="549"/>
      <c r="P254" s="550" t="s">
        <v>1393</v>
      </c>
      <c r="S254" s="212"/>
      <c r="T254" s="212"/>
      <c r="U254" s="212"/>
      <c r="V254" s="213"/>
      <c r="W254" s="212"/>
      <c r="X254" s="212"/>
      <c r="Y254" s="212"/>
      <c r="Z254" s="213"/>
      <c r="AA254" s="212"/>
      <c r="AB254" s="212"/>
      <c r="AC254" s="212"/>
      <c r="AD254" s="213"/>
    </row>
    <row r="255" spans="2:30" ht="26.25" customHeight="1" thickBot="1" x14ac:dyDescent="0.25">
      <c r="B255" s="1001"/>
      <c r="C255" s="999" t="s">
        <v>1103</v>
      </c>
      <c r="D255" s="999"/>
      <c r="E255" s="437" t="s">
        <v>1411</v>
      </c>
      <c r="F255" s="437" t="s">
        <v>1405</v>
      </c>
      <c r="G255" s="437"/>
      <c r="H255" s="521" t="s">
        <v>1404</v>
      </c>
      <c r="I255" s="545" t="s">
        <v>1405</v>
      </c>
      <c r="J255" s="437" t="s">
        <v>1398</v>
      </c>
      <c r="K255" s="437"/>
      <c r="L255" s="521" t="s">
        <v>1413</v>
      </c>
      <c r="M255" s="545"/>
      <c r="N255" s="437" t="s">
        <v>1393</v>
      </c>
      <c r="O255" s="555"/>
      <c r="P255" s="521" t="s">
        <v>1393</v>
      </c>
      <c r="S255" s="212"/>
      <c r="T255" s="212"/>
      <c r="U255" s="212"/>
      <c r="V255" s="213"/>
      <c r="W255" s="212"/>
      <c r="X255" s="212"/>
      <c r="Y255" s="212"/>
      <c r="Z255" s="213"/>
      <c r="AA255" s="212"/>
      <c r="AB255" s="212"/>
      <c r="AC255" s="688"/>
      <c r="AD255" s="213"/>
    </row>
    <row r="256" spans="2:30" ht="30.75" customHeight="1" thickBot="1" x14ac:dyDescent="0.25">
      <c r="B256" s="1002"/>
      <c r="C256" s="998" t="s">
        <v>1104</v>
      </c>
      <c r="D256" s="998"/>
      <c r="E256" s="552" t="s">
        <v>1118</v>
      </c>
      <c r="F256" s="552" t="s">
        <v>1414</v>
      </c>
      <c r="G256" s="552"/>
      <c r="H256" s="553" t="s">
        <v>1397</v>
      </c>
      <c r="I256" s="554" t="s">
        <v>1415</v>
      </c>
      <c r="J256" s="552" t="s">
        <v>1416</v>
      </c>
      <c r="K256" s="552"/>
      <c r="L256" s="553" t="s">
        <v>1417</v>
      </c>
      <c r="M256" s="554"/>
      <c r="N256" s="552" t="s">
        <v>1393</v>
      </c>
      <c r="O256" s="552"/>
      <c r="P256" s="553" t="s">
        <v>1393</v>
      </c>
      <c r="S256" s="212"/>
      <c r="T256" s="212"/>
      <c r="U256" s="212"/>
      <c r="V256" s="213"/>
      <c r="W256" s="212"/>
      <c r="X256" s="212"/>
      <c r="Y256" s="212"/>
      <c r="Z256" s="213"/>
      <c r="AA256" s="212"/>
      <c r="AB256" s="212"/>
      <c r="AC256" s="212"/>
      <c r="AD256" s="213"/>
    </row>
    <row r="257" spans="2:30" ht="38.25" customHeight="1" thickBot="1" x14ac:dyDescent="0.25">
      <c r="B257" s="1000" t="s">
        <v>1089</v>
      </c>
      <c r="C257" s="997" t="s">
        <v>1105</v>
      </c>
      <c r="D257" s="997"/>
      <c r="E257" s="549" t="s">
        <v>1119</v>
      </c>
      <c r="F257" s="549" t="s">
        <v>1418</v>
      </c>
      <c r="G257" s="549"/>
      <c r="H257" s="550" t="s">
        <v>1419</v>
      </c>
      <c r="I257" s="551" t="s">
        <v>1405</v>
      </c>
      <c r="J257" s="549" t="s">
        <v>1392</v>
      </c>
      <c r="K257" s="549"/>
      <c r="L257" s="550" t="s">
        <v>1399</v>
      </c>
      <c r="M257" s="551"/>
      <c r="N257" s="549" t="s">
        <v>1397</v>
      </c>
      <c r="O257" s="549"/>
      <c r="P257" s="550" t="s">
        <v>1397</v>
      </c>
      <c r="S257" s="212"/>
      <c r="T257" s="212"/>
      <c r="U257" s="212"/>
      <c r="V257" s="213"/>
      <c r="W257" s="212"/>
      <c r="X257" s="212"/>
      <c r="Y257" s="212"/>
      <c r="Z257" s="213"/>
      <c r="AA257" s="212"/>
      <c r="AB257" s="212"/>
      <c r="AC257" s="212"/>
      <c r="AD257" s="213"/>
    </row>
    <row r="258" spans="2:30" ht="43.5" customHeight="1" thickBot="1" x14ac:dyDescent="0.25">
      <c r="B258" s="1001"/>
      <c r="C258" s="999" t="s">
        <v>1106</v>
      </c>
      <c r="D258" s="999"/>
      <c r="E258" s="437" t="s">
        <v>1411</v>
      </c>
      <c r="F258" s="437" t="s">
        <v>1420</v>
      </c>
      <c r="G258" s="437"/>
      <c r="H258" s="521" t="s">
        <v>1421</v>
      </c>
      <c r="I258" s="545" t="s">
        <v>1415</v>
      </c>
      <c r="J258" s="437" t="s">
        <v>1392</v>
      </c>
      <c r="K258" s="437"/>
      <c r="L258" s="521" t="s">
        <v>1410</v>
      </c>
      <c r="M258" s="545"/>
      <c r="N258" s="437" t="s">
        <v>1393</v>
      </c>
      <c r="O258" s="437"/>
      <c r="P258" s="521" t="s">
        <v>1393</v>
      </c>
      <c r="S258" s="212"/>
      <c r="T258" s="212"/>
      <c r="U258" s="212"/>
      <c r="V258" s="213"/>
      <c r="W258" s="212"/>
      <c r="X258" s="212"/>
      <c r="Y258" s="212"/>
      <c r="Z258" s="213"/>
      <c r="AA258" s="212"/>
      <c r="AB258" s="212"/>
      <c r="AC258" s="212"/>
      <c r="AD258" s="213"/>
    </row>
    <row r="259" spans="2:30" ht="31.5" customHeight="1" thickBot="1" x14ac:dyDescent="0.25">
      <c r="B259" s="1002"/>
      <c r="C259" s="998" t="s">
        <v>1475</v>
      </c>
      <c r="D259" s="998"/>
      <c r="E259" s="552" t="s">
        <v>1119</v>
      </c>
      <c r="F259" s="552" t="s">
        <v>1400</v>
      </c>
      <c r="G259" s="552"/>
      <c r="H259" s="553" t="s">
        <v>1422</v>
      </c>
      <c r="I259" s="554" t="s">
        <v>1397</v>
      </c>
      <c r="J259" s="552" t="s">
        <v>1392</v>
      </c>
      <c r="K259" s="552"/>
      <c r="L259" s="553" t="s">
        <v>1423</v>
      </c>
      <c r="M259" s="554"/>
      <c r="N259" s="552" t="s">
        <v>1397</v>
      </c>
      <c r="O259" s="552"/>
      <c r="P259" s="553" t="s">
        <v>1397</v>
      </c>
      <c r="S259" s="212"/>
      <c r="T259" s="212"/>
      <c r="U259" s="212"/>
      <c r="V259" s="213"/>
      <c r="W259" s="212"/>
      <c r="X259" s="212"/>
      <c r="Y259" s="212"/>
      <c r="Z259" s="213"/>
      <c r="AA259" s="212"/>
      <c r="AB259" s="212"/>
      <c r="AC259" s="212"/>
      <c r="AD259" s="213"/>
    </row>
    <row r="260" spans="2:30" ht="26.25" customHeight="1" thickBot="1" x14ac:dyDescent="0.25">
      <c r="B260" s="1000" t="s">
        <v>1090</v>
      </c>
      <c r="C260" s="997" t="s">
        <v>1107</v>
      </c>
      <c r="D260" s="997"/>
      <c r="E260" s="549" t="s">
        <v>1424</v>
      </c>
      <c r="F260" s="549" t="s">
        <v>1415</v>
      </c>
      <c r="G260" s="549"/>
      <c r="H260" s="550" t="s">
        <v>1404</v>
      </c>
      <c r="I260" s="551" t="s">
        <v>1408</v>
      </c>
      <c r="J260" s="549" t="s">
        <v>1392</v>
      </c>
      <c r="K260" s="549"/>
      <c r="L260" s="550" t="s">
        <v>1417</v>
      </c>
      <c r="M260" s="551"/>
      <c r="N260" s="549" t="s">
        <v>1397</v>
      </c>
      <c r="O260" s="549"/>
      <c r="P260" s="550" t="s">
        <v>1397</v>
      </c>
      <c r="S260" s="212"/>
      <c r="T260" s="212"/>
      <c r="U260" s="212"/>
      <c r="V260" s="213"/>
      <c r="W260" s="212"/>
      <c r="X260" s="212"/>
      <c r="Y260" s="212"/>
      <c r="Z260" s="213"/>
      <c r="AA260" s="212"/>
      <c r="AB260" s="212"/>
      <c r="AC260" s="212"/>
      <c r="AD260" s="213"/>
    </row>
    <row r="261" spans="2:30" ht="27.75" customHeight="1" thickBot="1" x14ac:dyDescent="0.25">
      <c r="B261" s="1002"/>
      <c r="C261" s="998" t="s">
        <v>1108</v>
      </c>
      <c r="D261" s="998"/>
      <c r="E261" s="552" t="s">
        <v>1117</v>
      </c>
      <c r="F261" s="552" t="s">
        <v>1405</v>
      </c>
      <c r="G261" s="552"/>
      <c r="H261" s="553" t="s">
        <v>1401</v>
      </c>
      <c r="I261" s="554" t="s">
        <v>1425</v>
      </c>
      <c r="J261" s="552" t="s">
        <v>1404</v>
      </c>
      <c r="K261" s="552"/>
      <c r="L261" s="553" t="s">
        <v>1426</v>
      </c>
      <c r="M261" s="554"/>
      <c r="N261" s="552" t="s">
        <v>1393</v>
      </c>
      <c r="O261" s="552"/>
      <c r="P261" s="553" t="s">
        <v>1393</v>
      </c>
      <c r="S261" s="212"/>
      <c r="T261" s="212"/>
      <c r="U261" s="212"/>
      <c r="V261" s="213"/>
      <c r="W261" s="212"/>
      <c r="X261" s="212"/>
      <c r="Y261" s="212"/>
      <c r="Z261" s="213"/>
      <c r="AA261" s="212"/>
      <c r="AB261" s="212"/>
      <c r="AC261" s="212"/>
      <c r="AD261" s="213"/>
    </row>
    <row r="262" spans="2:30" ht="32.25" customHeight="1" thickBot="1" x14ac:dyDescent="0.25">
      <c r="B262" s="468" t="s">
        <v>1091</v>
      </c>
      <c r="C262" s="1003" t="s">
        <v>1109</v>
      </c>
      <c r="D262" s="1003"/>
      <c r="E262" s="556" t="s">
        <v>1403</v>
      </c>
      <c r="F262" s="556" t="s">
        <v>1400</v>
      </c>
      <c r="G262" s="556"/>
      <c r="H262" s="557" t="s">
        <v>1397</v>
      </c>
      <c r="I262" s="558" t="s">
        <v>1408</v>
      </c>
      <c r="J262" s="556" t="s">
        <v>1392</v>
      </c>
      <c r="K262" s="556"/>
      <c r="L262" s="557" t="s">
        <v>1417</v>
      </c>
      <c r="M262" s="558"/>
      <c r="N262" s="556" t="s">
        <v>1393</v>
      </c>
      <c r="O262" s="556"/>
      <c r="P262" s="557" t="s">
        <v>1393</v>
      </c>
      <c r="S262" s="212"/>
      <c r="T262" s="212"/>
      <c r="U262" s="212"/>
      <c r="V262" s="213"/>
      <c r="W262" s="212"/>
      <c r="X262" s="212"/>
      <c r="Y262" s="212"/>
      <c r="Z262" s="213"/>
      <c r="AA262" s="212"/>
      <c r="AB262" s="212"/>
      <c r="AC262" s="212"/>
      <c r="AD262" s="213"/>
    </row>
    <row r="263" spans="2:30" ht="27" customHeight="1" thickBot="1" x14ac:dyDescent="0.25">
      <c r="B263" s="468" t="s">
        <v>1092</v>
      </c>
      <c r="C263" s="1003" t="s">
        <v>1110</v>
      </c>
      <c r="D263" s="1003"/>
      <c r="E263" s="556" t="s">
        <v>1403</v>
      </c>
      <c r="F263" s="552" t="s">
        <v>1405</v>
      </c>
      <c r="G263" s="552"/>
      <c r="H263" s="553" t="s">
        <v>1401</v>
      </c>
      <c r="I263" s="558" t="s">
        <v>1405</v>
      </c>
      <c r="J263" s="556" t="s">
        <v>1416</v>
      </c>
      <c r="K263" s="556"/>
      <c r="L263" s="557" t="s">
        <v>1423</v>
      </c>
      <c r="M263" s="558"/>
      <c r="N263" s="556" t="s">
        <v>1393</v>
      </c>
      <c r="O263" s="556"/>
      <c r="P263" s="557" t="s">
        <v>1393</v>
      </c>
      <c r="S263" s="212"/>
      <c r="T263" s="212"/>
      <c r="U263" s="212"/>
      <c r="V263" s="213"/>
      <c r="W263" s="212"/>
      <c r="X263" s="212"/>
      <c r="Y263" s="212"/>
      <c r="Z263" s="213"/>
      <c r="AA263" s="212"/>
      <c r="AB263" s="212"/>
      <c r="AC263" s="212"/>
      <c r="AD263" s="213"/>
    </row>
    <row r="264" spans="2:30" ht="28.5" customHeight="1" thickBot="1" x14ac:dyDescent="0.25">
      <c r="B264" s="1000" t="s">
        <v>1093</v>
      </c>
      <c r="C264" s="997" t="s">
        <v>1100</v>
      </c>
      <c r="D264" s="997"/>
      <c r="E264" s="549" t="s">
        <v>1117</v>
      </c>
      <c r="F264" s="549" t="s">
        <v>1400</v>
      </c>
      <c r="G264" s="549"/>
      <c r="H264" s="550" t="s">
        <v>1401</v>
      </c>
      <c r="I264" s="545" t="s">
        <v>1397</v>
      </c>
      <c r="J264" s="437" t="s">
        <v>1393</v>
      </c>
      <c r="K264" s="437"/>
      <c r="L264" s="521" t="s">
        <v>1413</v>
      </c>
      <c r="M264" s="551"/>
      <c r="N264" s="549" t="s">
        <v>1397</v>
      </c>
      <c r="O264" s="549"/>
      <c r="P264" s="550" t="s">
        <v>1397</v>
      </c>
      <c r="S264" s="212"/>
      <c r="T264" s="212"/>
      <c r="U264" s="212"/>
      <c r="V264" s="213"/>
      <c r="W264" s="212"/>
      <c r="X264" s="212"/>
      <c r="Y264" s="212"/>
      <c r="Z264" s="213"/>
      <c r="AA264" s="212"/>
      <c r="AB264" s="212"/>
      <c r="AC264" s="212"/>
      <c r="AD264" s="213"/>
    </row>
    <row r="265" spans="2:30" ht="30" customHeight="1" thickBot="1" x14ac:dyDescent="0.25">
      <c r="B265" s="1001"/>
      <c r="C265" s="999" t="s">
        <v>1111</v>
      </c>
      <c r="D265" s="999"/>
      <c r="E265" s="437" t="s">
        <v>1117</v>
      </c>
      <c r="F265" s="437" t="s">
        <v>1400</v>
      </c>
      <c r="G265" s="437"/>
      <c r="H265" s="521" t="s">
        <v>1401</v>
      </c>
      <c r="I265" s="545" t="s">
        <v>1415</v>
      </c>
      <c r="J265" s="437" t="s">
        <v>1393</v>
      </c>
      <c r="K265" s="437"/>
      <c r="L265" s="521" t="s">
        <v>1413</v>
      </c>
      <c r="M265" s="545"/>
      <c r="N265" s="437" t="s">
        <v>1397</v>
      </c>
      <c r="O265" s="555"/>
      <c r="P265" s="521" t="s">
        <v>1397</v>
      </c>
      <c r="S265" s="212"/>
      <c r="T265" s="212"/>
      <c r="U265" s="212"/>
      <c r="V265" s="213"/>
      <c r="W265" s="212"/>
      <c r="X265" s="212"/>
      <c r="Y265" s="212"/>
      <c r="Z265" s="213"/>
      <c r="AA265" s="212"/>
      <c r="AB265" s="212"/>
      <c r="AC265" s="688"/>
      <c r="AD265" s="213"/>
    </row>
    <row r="266" spans="2:30" ht="30.75" customHeight="1" thickBot="1" x14ac:dyDescent="0.25">
      <c r="B266" s="1001"/>
      <c r="C266" s="999" t="s">
        <v>1112</v>
      </c>
      <c r="D266" s="999"/>
      <c r="E266" s="437" t="s">
        <v>1117</v>
      </c>
      <c r="F266" s="437" t="s">
        <v>1400</v>
      </c>
      <c r="G266" s="437"/>
      <c r="H266" s="521" t="s">
        <v>1401</v>
      </c>
      <c r="I266" s="545" t="s">
        <v>1397</v>
      </c>
      <c r="J266" s="437" t="s">
        <v>1398</v>
      </c>
      <c r="K266" s="437"/>
      <c r="L266" s="521" t="s">
        <v>1399</v>
      </c>
      <c r="M266" s="545"/>
      <c r="N266" s="437" t="s">
        <v>1397</v>
      </c>
      <c r="O266" s="555"/>
      <c r="P266" s="521" t="s">
        <v>1397</v>
      </c>
      <c r="S266" s="212"/>
      <c r="T266" s="212"/>
      <c r="U266" s="212"/>
      <c r="V266" s="213"/>
      <c r="W266" s="212"/>
      <c r="X266" s="212"/>
      <c r="Y266" s="212"/>
      <c r="Z266" s="213"/>
      <c r="AA266" s="212"/>
      <c r="AB266" s="212"/>
      <c r="AC266" s="688"/>
      <c r="AD266" s="213"/>
    </row>
    <row r="267" spans="2:30" ht="29.25" customHeight="1" thickBot="1" x14ac:dyDescent="0.25">
      <c r="B267" s="1002"/>
      <c r="C267" s="998" t="s">
        <v>1113</v>
      </c>
      <c r="D267" s="998"/>
      <c r="E267" s="552" t="s">
        <v>1117</v>
      </c>
      <c r="F267" s="552" t="s">
        <v>1400</v>
      </c>
      <c r="G267" s="552"/>
      <c r="H267" s="553" t="s">
        <v>1401</v>
      </c>
      <c r="I267" s="545" t="s">
        <v>1397</v>
      </c>
      <c r="J267" s="437" t="s">
        <v>1398</v>
      </c>
      <c r="K267" s="437"/>
      <c r="L267" s="521" t="s">
        <v>1399</v>
      </c>
      <c r="M267" s="554"/>
      <c r="N267" s="552" t="s">
        <v>1393</v>
      </c>
      <c r="O267" s="552"/>
      <c r="P267" s="553" t="s">
        <v>1393</v>
      </c>
      <c r="S267" s="212"/>
      <c r="T267" s="212"/>
      <c r="U267" s="212"/>
      <c r="V267" s="213"/>
      <c r="W267" s="212"/>
      <c r="X267" s="212"/>
      <c r="Y267" s="212"/>
      <c r="Z267" s="213"/>
      <c r="AA267" s="212"/>
      <c r="AB267" s="212"/>
      <c r="AC267" s="212"/>
      <c r="AD267" s="213"/>
    </row>
    <row r="268" spans="2:30" ht="26.25" customHeight="1" thickBot="1" x14ac:dyDescent="0.25">
      <c r="B268" s="1000" t="s">
        <v>1094</v>
      </c>
      <c r="C268" s="997" t="s">
        <v>1114</v>
      </c>
      <c r="D268" s="997"/>
      <c r="E268" s="549" t="s">
        <v>1403</v>
      </c>
      <c r="F268" s="549" t="s">
        <v>1414</v>
      </c>
      <c r="G268" s="549"/>
      <c r="H268" s="550" t="s">
        <v>1427</v>
      </c>
      <c r="I268" s="551" t="s">
        <v>1405</v>
      </c>
      <c r="J268" s="549" t="s">
        <v>1398</v>
      </c>
      <c r="K268" s="549"/>
      <c r="L268" s="550" t="s">
        <v>1413</v>
      </c>
      <c r="M268" s="551"/>
      <c r="N268" s="549" t="s">
        <v>1397</v>
      </c>
      <c r="O268" s="549"/>
      <c r="P268" s="550" t="s">
        <v>1397</v>
      </c>
      <c r="S268" s="212"/>
      <c r="T268" s="212"/>
      <c r="U268" s="212"/>
      <c r="V268" s="213"/>
      <c r="W268" s="212"/>
      <c r="X268" s="212"/>
      <c r="Y268" s="212"/>
      <c r="Z268" s="213"/>
      <c r="AA268" s="212"/>
      <c r="AB268" s="212"/>
      <c r="AC268" s="212"/>
      <c r="AD268" s="213"/>
    </row>
    <row r="269" spans="2:30" ht="27.75" customHeight="1" thickBot="1" x14ac:dyDescent="0.25">
      <c r="B269" s="1002"/>
      <c r="C269" s="998" t="s">
        <v>1115</v>
      </c>
      <c r="D269" s="998"/>
      <c r="E269" s="552" t="s">
        <v>1117</v>
      </c>
      <c r="F269" s="552" t="s">
        <v>1405</v>
      </c>
      <c r="G269" s="552"/>
      <c r="H269" s="553" t="s">
        <v>1401</v>
      </c>
      <c r="I269" s="554" t="s">
        <v>1405</v>
      </c>
      <c r="J269" s="552" t="s">
        <v>1393</v>
      </c>
      <c r="K269" s="552"/>
      <c r="L269" s="553" t="s">
        <v>1428</v>
      </c>
      <c r="M269" s="554"/>
      <c r="N269" s="552" t="s">
        <v>1393</v>
      </c>
      <c r="O269" s="552"/>
      <c r="P269" s="553" t="s">
        <v>1393</v>
      </c>
      <c r="S269" s="212"/>
      <c r="T269" s="212"/>
      <c r="U269" s="212"/>
      <c r="V269" s="213"/>
      <c r="W269" s="212"/>
      <c r="X269" s="212"/>
      <c r="Y269" s="212"/>
      <c r="Z269" s="213"/>
      <c r="AA269" s="212"/>
      <c r="AB269" s="212"/>
      <c r="AC269" s="212"/>
      <c r="AD269" s="213"/>
    </row>
    <row r="270" spans="2:30" ht="27.75" customHeight="1" thickBot="1" x14ac:dyDescent="0.25">
      <c r="B270" s="1001"/>
      <c r="C270" s="999" t="s">
        <v>1081</v>
      </c>
      <c r="D270" s="999"/>
      <c r="E270" s="437" t="s">
        <v>1019</v>
      </c>
      <c r="F270" s="437" t="s">
        <v>1297</v>
      </c>
      <c r="G270" s="437"/>
      <c r="H270" s="521" t="s">
        <v>1383</v>
      </c>
      <c r="I270" s="545" t="s">
        <v>1429</v>
      </c>
      <c r="J270" s="437" t="s">
        <v>1019</v>
      </c>
      <c r="K270" s="437"/>
      <c r="L270" s="521" t="s">
        <v>1430</v>
      </c>
      <c r="M270" s="545"/>
      <c r="N270" s="437" t="s">
        <v>1019</v>
      </c>
      <c r="O270" s="437"/>
      <c r="P270" s="521" t="s">
        <v>1019</v>
      </c>
      <c r="S270" s="212"/>
      <c r="T270" s="212"/>
      <c r="U270" s="212"/>
      <c r="V270" s="213"/>
      <c r="W270" s="212"/>
      <c r="X270" s="212"/>
      <c r="Y270" s="212"/>
      <c r="Z270" s="213"/>
      <c r="AA270" s="212"/>
      <c r="AB270" s="212"/>
      <c r="AC270" s="212"/>
      <c r="AD270" s="213"/>
    </row>
    <row r="271" spans="2:30" ht="25.5" customHeight="1" thickBot="1" x14ac:dyDescent="0.25">
      <c r="B271" s="1001"/>
      <c r="C271" s="999" t="s">
        <v>1082</v>
      </c>
      <c r="D271" s="999"/>
      <c r="E271" s="437" t="s">
        <v>1019</v>
      </c>
      <c r="F271" s="437" t="s">
        <v>1297</v>
      </c>
      <c r="G271" s="437"/>
      <c r="H271" s="521" t="s">
        <v>1383</v>
      </c>
      <c r="I271" s="545" t="s">
        <v>1297</v>
      </c>
      <c r="J271" s="437" t="s">
        <v>1019</v>
      </c>
      <c r="K271" s="437"/>
      <c r="L271" s="521" t="s">
        <v>1431</v>
      </c>
      <c r="M271" s="545"/>
      <c r="N271" s="437" t="s">
        <v>1019</v>
      </c>
      <c r="O271" s="437"/>
      <c r="P271" s="521" t="s">
        <v>1019</v>
      </c>
      <c r="S271" s="212"/>
      <c r="T271" s="212"/>
      <c r="U271" s="212"/>
      <c r="V271" s="213"/>
      <c r="W271" s="212"/>
      <c r="X271" s="212"/>
      <c r="Y271" s="212"/>
      <c r="Z271" s="213"/>
      <c r="AA271" s="212"/>
      <c r="AB271" s="212"/>
      <c r="AC271" s="212"/>
      <c r="AD271" s="213"/>
    </row>
    <row r="272" spans="2:30" ht="36" customHeight="1" thickBot="1" x14ac:dyDescent="0.25">
      <c r="B272" s="1002"/>
      <c r="C272" s="998" t="s">
        <v>1083</v>
      </c>
      <c r="D272" s="998"/>
      <c r="E272" s="552" t="s">
        <v>1019</v>
      </c>
      <c r="F272" s="552" t="s">
        <v>1297</v>
      </c>
      <c r="G272" s="552"/>
      <c r="H272" s="553" t="s">
        <v>1383</v>
      </c>
      <c r="I272" s="554" t="s">
        <v>1334</v>
      </c>
      <c r="J272" s="552" t="s">
        <v>1272</v>
      </c>
      <c r="K272" s="552"/>
      <c r="L272" s="553" t="s">
        <v>1432</v>
      </c>
      <c r="M272" s="554"/>
      <c r="N272" s="552" t="s">
        <v>1045</v>
      </c>
      <c r="O272" s="552"/>
      <c r="P272" s="553" t="s">
        <v>1045</v>
      </c>
      <c r="S272" s="212"/>
      <c r="T272" s="212"/>
      <c r="U272" s="212"/>
      <c r="V272" s="213"/>
      <c r="W272" s="212"/>
      <c r="X272" s="212"/>
      <c r="Y272" s="212"/>
      <c r="Z272" s="213"/>
      <c r="AA272" s="212"/>
      <c r="AB272" s="212"/>
      <c r="AC272" s="212"/>
      <c r="AD272" s="213"/>
    </row>
    <row r="273" spans="2:11" x14ac:dyDescent="0.2">
      <c r="B273" s="925" t="s">
        <v>1483</v>
      </c>
      <c r="C273" s="925"/>
      <c r="K273" s="212"/>
    </row>
    <row r="274" spans="2:11" x14ac:dyDescent="0.2">
      <c r="B274" s="45" t="s">
        <v>461</v>
      </c>
    </row>
  </sheetData>
  <mergeCells count="376">
    <mergeCell ref="B227:N227"/>
    <mergeCell ref="B12:E12"/>
    <mergeCell ref="B21:Q21"/>
    <mergeCell ref="Q13:R14"/>
    <mergeCell ref="Q15:R15"/>
    <mergeCell ref="Q16:R16"/>
    <mergeCell ref="B116:I116"/>
    <mergeCell ref="B145:H145"/>
    <mergeCell ref="B178:H178"/>
    <mergeCell ref="B221:C221"/>
    <mergeCell ref="B222:C222"/>
    <mergeCell ref="B179:C179"/>
    <mergeCell ref="L179:M179"/>
    <mergeCell ref="N179:O179"/>
    <mergeCell ref="B180:C180"/>
    <mergeCell ref="L180:M180"/>
    <mergeCell ref="N180:O180"/>
    <mergeCell ref="B181:C181"/>
    <mergeCell ref="B182:C182"/>
    <mergeCell ref="L182:M182"/>
    <mergeCell ref="N182:O182"/>
    <mergeCell ref="D184:O184"/>
    <mergeCell ref="B185:C186"/>
    <mergeCell ref="D185:G185"/>
    <mergeCell ref="H185:K185"/>
    <mergeCell ref="L185:O185"/>
    <mergeCell ref="B191:C191"/>
    <mergeCell ref="B192:C192"/>
    <mergeCell ref="B196:C196"/>
    <mergeCell ref="B197:C197"/>
    <mergeCell ref="B198:C198"/>
    <mergeCell ref="B199:C199"/>
    <mergeCell ref="B200:C200"/>
    <mergeCell ref="A145:A149"/>
    <mergeCell ref="B146:C146"/>
    <mergeCell ref="L146:M146"/>
    <mergeCell ref="N146:O146"/>
    <mergeCell ref="B147:C147"/>
    <mergeCell ref="L147:M147"/>
    <mergeCell ref="N147:O147"/>
    <mergeCell ref="B148:C148"/>
    <mergeCell ref="B149:C149"/>
    <mergeCell ref="L149:M149"/>
    <mergeCell ref="N149:O149"/>
    <mergeCell ref="B119:C119"/>
    <mergeCell ref="B158:C158"/>
    <mergeCell ref="B159:C159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52:C153"/>
    <mergeCell ref="B154:C154"/>
    <mergeCell ref="B155:C155"/>
    <mergeCell ref="B156:C156"/>
    <mergeCell ref="B157:C157"/>
    <mergeCell ref="L116:M116"/>
    <mergeCell ref="N116:O116"/>
    <mergeCell ref="B117:C117"/>
    <mergeCell ref="L117:M117"/>
    <mergeCell ref="N117:O117"/>
    <mergeCell ref="B118:C118"/>
    <mergeCell ref="O108:P108"/>
    <mergeCell ref="T108:U108"/>
    <mergeCell ref="B109:C109"/>
    <mergeCell ref="L110:M110"/>
    <mergeCell ref="N110:O110"/>
    <mergeCell ref="L113:M113"/>
    <mergeCell ref="N113:O113"/>
    <mergeCell ref="N114:O114"/>
    <mergeCell ref="N115:O115"/>
    <mergeCell ref="L114:M114"/>
    <mergeCell ref="B104:F104"/>
    <mergeCell ref="J104:K104"/>
    <mergeCell ref="O104:P104"/>
    <mergeCell ref="T104:U104"/>
    <mergeCell ref="A105:A108"/>
    <mergeCell ref="B105:C108"/>
    <mergeCell ref="D105:F105"/>
    <mergeCell ref="J105:K105"/>
    <mergeCell ref="O105:P105"/>
    <mergeCell ref="T105:U105"/>
    <mergeCell ref="D106:F106"/>
    <mergeCell ref="J106:K106"/>
    <mergeCell ref="O106:P106"/>
    <mergeCell ref="T106:U106"/>
    <mergeCell ref="D107:F107"/>
    <mergeCell ref="J107:K107"/>
    <mergeCell ref="O107:P107"/>
    <mergeCell ref="T107:U107"/>
    <mergeCell ref="D108:F108"/>
    <mergeCell ref="J108:K108"/>
    <mergeCell ref="D103:F103"/>
    <mergeCell ref="J103:K103"/>
    <mergeCell ref="O103:P103"/>
    <mergeCell ref="T103:U103"/>
    <mergeCell ref="B101:C103"/>
    <mergeCell ref="D101:F101"/>
    <mergeCell ref="J101:K101"/>
    <mergeCell ref="O101:P101"/>
    <mergeCell ref="T101:U101"/>
    <mergeCell ref="D102:F102"/>
    <mergeCell ref="J102:K102"/>
    <mergeCell ref="O102:P102"/>
    <mergeCell ref="T102:U102"/>
    <mergeCell ref="B97:F97"/>
    <mergeCell ref="J97:K97"/>
    <mergeCell ref="O97:P97"/>
    <mergeCell ref="T97:U97"/>
    <mergeCell ref="B98:C100"/>
    <mergeCell ref="D98:F98"/>
    <mergeCell ref="J98:K98"/>
    <mergeCell ref="O98:P98"/>
    <mergeCell ref="T98:U98"/>
    <mergeCell ref="D99:F99"/>
    <mergeCell ref="J99:K99"/>
    <mergeCell ref="O99:P99"/>
    <mergeCell ref="T99:U99"/>
    <mergeCell ref="D100:F100"/>
    <mergeCell ref="J100:K100"/>
    <mergeCell ref="O100:P100"/>
    <mergeCell ref="T100:U100"/>
    <mergeCell ref="D27:E27"/>
    <mergeCell ref="F35:G35"/>
    <mergeCell ref="D31:E32"/>
    <mergeCell ref="G95:K95"/>
    <mergeCell ref="L95:P95"/>
    <mergeCell ref="Q95:U95"/>
    <mergeCell ref="B96:C96"/>
    <mergeCell ref="D96:F96"/>
    <mergeCell ref="J96:K96"/>
    <mergeCell ref="O96:P96"/>
    <mergeCell ref="T96:U96"/>
    <mergeCell ref="B90:C90"/>
    <mergeCell ref="H31:K31"/>
    <mergeCell ref="B31:C32"/>
    <mergeCell ref="B33:C33"/>
    <mergeCell ref="B34:C34"/>
    <mergeCell ref="F34:G34"/>
    <mergeCell ref="F33:G33"/>
    <mergeCell ref="F31:G32"/>
    <mergeCell ref="D34:E34"/>
    <mergeCell ref="D33:E33"/>
    <mergeCell ref="B79:H79"/>
    <mergeCell ref="B80:C80"/>
    <mergeCell ref="B88:C88"/>
    <mergeCell ref="B273:C273"/>
    <mergeCell ref="B228:C228"/>
    <mergeCell ref="B229:C229"/>
    <mergeCell ref="B174:C174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190:C190"/>
    <mergeCell ref="B187:C187"/>
    <mergeCell ref="B195:C195"/>
    <mergeCell ref="B193:C193"/>
    <mergeCell ref="B194:C194"/>
    <mergeCell ref="B188:C188"/>
    <mergeCell ref="B223:C223"/>
    <mergeCell ref="B189:C189"/>
    <mergeCell ref="B17:C17"/>
    <mergeCell ref="F22:G22"/>
    <mergeCell ref="H22:I22"/>
    <mergeCell ref="B26:C26"/>
    <mergeCell ref="B25:C25"/>
    <mergeCell ref="B24:C24"/>
    <mergeCell ref="B22:C23"/>
    <mergeCell ref="D22:E23"/>
    <mergeCell ref="D25:E25"/>
    <mergeCell ref="D24:E24"/>
    <mergeCell ref="D17:E17"/>
    <mergeCell ref="F17:G17"/>
    <mergeCell ref="H17:I17"/>
    <mergeCell ref="D18:E18"/>
    <mergeCell ref="F18:G18"/>
    <mergeCell ref="H18:I18"/>
    <mergeCell ref="D26:E26"/>
    <mergeCell ref="B13:C14"/>
    <mergeCell ref="H13:I14"/>
    <mergeCell ref="F13:G14"/>
    <mergeCell ref="D13:E14"/>
    <mergeCell ref="B35:C35"/>
    <mergeCell ref="D42:F42"/>
    <mergeCell ref="I53:M53"/>
    <mergeCell ref="I72:M72"/>
    <mergeCell ref="B16:C16"/>
    <mergeCell ref="B15:C15"/>
    <mergeCell ref="H15:I15"/>
    <mergeCell ref="H16:I16"/>
    <mergeCell ref="F16:G16"/>
    <mergeCell ref="F15:G15"/>
    <mergeCell ref="D16:E16"/>
    <mergeCell ref="D15:E15"/>
    <mergeCell ref="D60:E60"/>
    <mergeCell ref="G58:H58"/>
    <mergeCell ref="G57:H57"/>
    <mergeCell ref="B59:H59"/>
    <mergeCell ref="G65:H65"/>
    <mergeCell ref="B66:H66"/>
    <mergeCell ref="B72:C73"/>
    <mergeCell ref="B67:C67"/>
    <mergeCell ref="B74:C76"/>
    <mergeCell ref="B78:C78"/>
    <mergeCell ref="D72:E73"/>
    <mergeCell ref="D74:E74"/>
    <mergeCell ref="D78:E78"/>
    <mergeCell ref="D76:E76"/>
    <mergeCell ref="F72:F73"/>
    <mergeCell ref="G78:H78"/>
    <mergeCell ref="G76:H76"/>
    <mergeCell ref="G74:H74"/>
    <mergeCell ref="G72:H73"/>
    <mergeCell ref="B77:H77"/>
    <mergeCell ref="D75:E75"/>
    <mergeCell ref="G75:H75"/>
    <mergeCell ref="F53:F54"/>
    <mergeCell ref="G53:H54"/>
    <mergeCell ref="B42:C43"/>
    <mergeCell ref="B44:C44"/>
    <mergeCell ref="B45:C45"/>
    <mergeCell ref="B46:C46"/>
    <mergeCell ref="F36:G36"/>
    <mergeCell ref="B55:C58"/>
    <mergeCell ref="D53:E54"/>
    <mergeCell ref="D58:E58"/>
    <mergeCell ref="D57:E57"/>
    <mergeCell ref="D56:E56"/>
    <mergeCell ref="D55:E55"/>
    <mergeCell ref="G56:H56"/>
    <mergeCell ref="G55:H55"/>
    <mergeCell ref="B47:C47"/>
    <mergeCell ref="B53:C54"/>
    <mergeCell ref="B60:C65"/>
    <mergeCell ref="G63:H63"/>
    <mergeCell ref="G62:H62"/>
    <mergeCell ref="G61:H61"/>
    <mergeCell ref="G60:H60"/>
    <mergeCell ref="D65:E65"/>
    <mergeCell ref="D64:E64"/>
    <mergeCell ref="D63:E63"/>
    <mergeCell ref="D62:E62"/>
    <mergeCell ref="D61:E61"/>
    <mergeCell ref="G64:H64"/>
    <mergeCell ref="J87:K87"/>
    <mergeCell ref="B120:C120"/>
    <mergeCell ref="N118:O118"/>
    <mergeCell ref="L115:M115"/>
    <mergeCell ref="L122:M122"/>
    <mergeCell ref="L120:M120"/>
    <mergeCell ref="L118:M118"/>
    <mergeCell ref="H115:I115"/>
    <mergeCell ref="D124:G124"/>
    <mergeCell ref="N122:O122"/>
    <mergeCell ref="N120:O120"/>
    <mergeCell ref="B89:C89"/>
    <mergeCell ref="D89:E89"/>
    <mergeCell ref="D88:E88"/>
    <mergeCell ref="F87:G87"/>
    <mergeCell ref="H89:I89"/>
    <mergeCell ref="H88:I88"/>
    <mergeCell ref="H87:I87"/>
    <mergeCell ref="F89:G89"/>
    <mergeCell ref="F88:G88"/>
    <mergeCell ref="B87:C87"/>
    <mergeCell ref="D87:E87"/>
    <mergeCell ref="J89:K89"/>
    <mergeCell ref="J88:K88"/>
    <mergeCell ref="H124:K124"/>
    <mergeCell ref="L124:O124"/>
    <mergeCell ref="B124:C125"/>
    <mergeCell ref="D123:O123"/>
    <mergeCell ref="B160:C160"/>
    <mergeCell ref="B161:C161"/>
    <mergeCell ref="B162:C162"/>
    <mergeCell ref="B163:C163"/>
    <mergeCell ref="B164:C164"/>
    <mergeCell ref="B131:C131"/>
    <mergeCell ref="B132:C132"/>
    <mergeCell ref="B133:C133"/>
    <mergeCell ref="D151:O151"/>
    <mergeCell ref="D152:G152"/>
    <mergeCell ref="H152:K152"/>
    <mergeCell ref="L152:O15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126:C126"/>
    <mergeCell ref="B127:C127"/>
    <mergeCell ref="B128:C128"/>
    <mergeCell ref="B129:C129"/>
    <mergeCell ref="B130:C130"/>
    <mergeCell ref="B165:C165"/>
    <mergeCell ref="B166:C166"/>
    <mergeCell ref="B167:C167"/>
    <mergeCell ref="B168:C168"/>
    <mergeCell ref="B169:C169"/>
    <mergeCell ref="B172:C172"/>
    <mergeCell ref="B173:C173"/>
    <mergeCell ref="B170:C170"/>
    <mergeCell ref="B171:C171"/>
    <mergeCell ref="B238:D238"/>
    <mergeCell ref="B239:B243"/>
    <mergeCell ref="L228:M228"/>
    <mergeCell ref="N228:O228"/>
    <mergeCell ref="N229:O229"/>
    <mergeCell ref="B230:C230"/>
    <mergeCell ref="B231:C231"/>
    <mergeCell ref="N231:O231"/>
    <mergeCell ref="E233:P233"/>
    <mergeCell ref="E234:H234"/>
    <mergeCell ref="I234:L234"/>
    <mergeCell ref="M234:P234"/>
    <mergeCell ref="B234:D235"/>
    <mergeCell ref="B236:D236"/>
    <mergeCell ref="B237:D237"/>
    <mergeCell ref="C242:D242"/>
    <mergeCell ref="C241:D241"/>
    <mergeCell ref="C240:D240"/>
    <mergeCell ref="C239:D239"/>
    <mergeCell ref="C243:D243"/>
    <mergeCell ref="B244:B248"/>
    <mergeCell ref="B249:B253"/>
    <mergeCell ref="B254:B256"/>
    <mergeCell ref="B257:B259"/>
    <mergeCell ref="B260:B261"/>
    <mergeCell ref="C272:D272"/>
    <mergeCell ref="C271:D271"/>
    <mergeCell ref="C270:D270"/>
    <mergeCell ref="C269:D269"/>
    <mergeCell ref="C268:D268"/>
    <mergeCell ref="C267:D267"/>
    <mergeCell ref="C263:D263"/>
    <mergeCell ref="C262:D262"/>
    <mergeCell ref="C261:D261"/>
    <mergeCell ref="B264:B267"/>
    <mergeCell ref="B268:B269"/>
    <mergeCell ref="B270:B272"/>
    <mergeCell ref="C248:D248"/>
    <mergeCell ref="C247:D247"/>
    <mergeCell ref="C246:D246"/>
    <mergeCell ref="C245:D245"/>
    <mergeCell ref="C244:D244"/>
    <mergeCell ref="C266:D266"/>
    <mergeCell ref="C265:D265"/>
    <mergeCell ref="C264:D264"/>
    <mergeCell ref="C254:D254"/>
    <mergeCell ref="C253:D253"/>
    <mergeCell ref="C252:D252"/>
    <mergeCell ref="C251:D251"/>
    <mergeCell ref="C250:D250"/>
    <mergeCell ref="C249:D249"/>
    <mergeCell ref="C260:D260"/>
    <mergeCell ref="C259:D259"/>
    <mergeCell ref="C258:D258"/>
    <mergeCell ref="C257:D257"/>
    <mergeCell ref="C256:D256"/>
    <mergeCell ref="C255:D25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AG798"/>
  <sheetViews>
    <sheetView zoomScaleNormal="100" workbookViewId="0">
      <selection activeCell="G6" sqref="G6"/>
    </sheetView>
  </sheetViews>
  <sheetFormatPr baseColWidth="10" defaultColWidth="11.5" defaultRowHeight="15" x14ac:dyDescent="0.2"/>
  <cols>
    <col min="2" max="2" width="11.5" customWidth="1"/>
    <col min="4" max="13" width="11.6640625" customWidth="1"/>
    <col min="14" max="22" width="11.5" customWidth="1"/>
  </cols>
  <sheetData>
    <row r="7" spans="2:18" ht="18" x14ac:dyDescent="0.2">
      <c r="B7" s="1" t="s">
        <v>0</v>
      </c>
    </row>
    <row r="9" spans="2:18" ht="18" x14ac:dyDescent="0.2">
      <c r="B9" s="1" t="s">
        <v>669</v>
      </c>
    </row>
    <row r="10" spans="2:18" ht="18" x14ac:dyDescent="0.2">
      <c r="B10" s="1"/>
    </row>
    <row r="12" spans="2:18" x14ac:dyDescent="0.2">
      <c r="B12" s="61" t="s">
        <v>838</v>
      </c>
      <c r="C12" s="61"/>
      <c r="D12" s="61"/>
      <c r="E12" s="61"/>
      <c r="F12" s="61"/>
      <c r="G12" s="61"/>
      <c r="H12" s="49"/>
      <c r="I12" s="292"/>
      <c r="J12" s="49"/>
      <c r="K12" s="55"/>
      <c r="L12" s="56"/>
      <c r="M12" s="57"/>
      <c r="N12" s="57"/>
      <c r="O12" s="57"/>
      <c r="Q12" s="59"/>
      <c r="R12" s="59"/>
    </row>
    <row r="13" spans="2:18" x14ac:dyDescent="0.2">
      <c r="B13" s="1108" t="s">
        <v>7</v>
      </c>
      <c r="C13" s="1108"/>
      <c r="D13" s="1108"/>
      <c r="E13" s="1108"/>
      <c r="F13" s="1108"/>
      <c r="G13" s="1108"/>
      <c r="H13" s="1108"/>
      <c r="I13" s="1108"/>
      <c r="K13" s="55"/>
      <c r="L13" s="56"/>
      <c r="M13" s="57"/>
      <c r="N13" s="57"/>
      <c r="O13" s="57"/>
      <c r="Q13" s="59"/>
      <c r="R13" s="59"/>
    </row>
    <row r="14" spans="2:18" ht="15.75" customHeight="1" thickBot="1" x14ac:dyDescent="0.25">
      <c r="B14" s="741" t="s">
        <v>536</v>
      </c>
      <c r="C14" s="741"/>
      <c r="D14" s="1106" t="s">
        <v>537</v>
      </c>
      <c r="E14" s="1106"/>
      <c r="F14" s="1106" t="s">
        <v>446</v>
      </c>
      <c r="G14" s="1106"/>
      <c r="H14" s="1106" t="s">
        <v>611</v>
      </c>
      <c r="I14" s="1106"/>
      <c r="K14" s="55"/>
      <c r="L14" s="56"/>
      <c r="M14" s="57"/>
      <c r="N14" s="57"/>
      <c r="O14" s="57"/>
      <c r="Q14" s="59"/>
      <c r="R14" s="59"/>
    </row>
    <row r="15" spans="2:18" ht="16" thickBot="1" x14ac:dyDescent="0.25">
      <c r="B15" s="1104" t="s">
        <v>1180</v>
      </c>
      <c r="C15" s="1104"/>
      <c r="D15" s="1111">
        <v>1</v>
      </c>
      <c r="E15" s="1111"/>
      <c r="F15" s="1103" t="s">
        <v>1006</v>
      </c>
      <c r="G15" s="1103"/>
      <c r="H15" s="1103" t="s">
        <v>1154</v>
      </c>
      <c r="I15" s="1103"/>
      <c r="K15" s="60"/>
      <c r="L15" s="495"/>
      <c r="M15" s="495"/>
      <c r="N15" s="495"/>
      <c r="O15" s="495"/>
      <c r="Q15" s="59"/>
      <c r="R15" s="59"/>
    </row>
    <row r="16" spans="2:18" ht="16" thickBot="1" x14ac:dyDescent="0.25">
      <c r="B16" s="1104" t="s">
        <v>1181</v>
      </c>
      <c r="C16" s="1104"/>
      <c r="D16" s="1102">
        <v>1</v>
      </c>
      <c r="E16" s="1102"/>
      <c r="F16" s="1095" t="s">
        <v>1002</v>
      </c>
      <c r="G16" s="1095"/>
      <c r="H16" s="1095" t="s">
        <v>1154</v>
      </c>
      <c r="I16" s="1095"/>
      <c r="K16" s="60"/>
      <c r="L16" s="495"/>
      <c r="M16" s="495"/>
      <c r="N16" s="495"/>
      <c r="O16" s="495"/>
      <c r="Q16" s="59"/>
      <c r="R16" s="59"/>
    </row>
    <row r="17" spans="2:18" ht="16" thickBot="1" x14ac:dyDescent="0.25">
      <c r="B17" s="1104" t="s">
        <v>1182</v>
      </c>
      <c r="C17" s="1104"/>
      <c r="D17" s="1102">
        <v>1</v>
      </c>
      <c r="E17" s="1102"/>
      <c r="F17" s="1095" t="s">
        <v>1005</v>
      </c>
      <c r="G17" s="1095"/>
      <c r="H17" s="1095" t="s">
        <v>1154</v>
      </c>
      <c r="I17" s="1095"/>
      <c r="K17" s="60"/>
      <c r="L17" s="495"/>
      <c r="M17" s="495"/>
      <c r="N17" s="495"/>
      <c r="O17" s="495"/>
      <c r="Q17" s="59"/>
      <c r="R17" s="59"/>
    </row>
    <row r="18" spans="2:18" ht="16" thickBot="1" x14ac:dyDescent="0.25">
      <c r="B18" s="1104" t="s">
        <v>1183</v>
      </c>
      <c r="C18" s="1104"/>
      <c r="D18" s="1102">
        <v>1</v>
      </c>
      <c r="E18" s="1102"/>
      <c r="F18" s="1095" t="s">
        <v>1002</v>
      </c>
      <c r="G18" s="1095"/>
      <c r="H18" s="1095" t="s">
        <v>1154</v>
      </c>
      <c r="I18" s="1095"/>
      <c r="K18" s="60"/>
      <c r="L18" s="495"/>
      <c r="M18" s="495"/>
      <c r="N18" s="495"/>
      <c r="O18" s="495"/>
      <c r="Q18" s="59"/>
      <c r="R18" s="59"/>
    </row>
    <row r="19" spans="2:18" ht="16" thickBot="1" x14ac:dyDescent="0.25">
      <c r="B19" s="1104" t="s">
        <v>1184</v>
      </c>
      <c r="C19" s="1104"/>
      <c r="D19" s="1102">
        <v>1</v>
      </c>
      <c r="E19" s="1102"/>
      <c r="F19" s="1095" t="s">
        <v>1002</v>
      </c>
      <c r="G19" s="1095"/>
      <c r="H19" s="1095" t="s">
        <v>1154</v>
      </c>
      <c r="I19" s="1095"/>
      <c r="K19" s="60"/>
      <c r="L19" s="495"/>
      <c r="M19" s="495"/>
      <c r="N19" s="495"/>
      <c r="O19" s="495"/>
      <c r="Q19" s="59"/>
      <c r="R19" s="59"/>
    </row>
    <row r="20" spans="2:18" ht="51.75" customHeight="1" thickBot="1" x14ac:dyDescent="0.25">
      <c r="B20" s="1104" t="s">
        <v>1185</v>
      </c>
      <c r="C20" s="1104"/>
      <c r="D20" s="1102">
        <v>1</v>
      </c>
      <c r="E20" s="1102"/>
      <c r="F20" s="1095" t="s">
        <v>1002</v>
      </c>
      <c r="G20" s="1095"/>
      <c r="H20" s="1095" t="s">
        <v>1154</v>
      </c>
      <c r="I20" s="1095"/>
      <c r="K20" s="60"/>
      <c r="L20" s="495"/>
      <c r="M20" s="495"/>
      <c r="N20" s="495"/>
      <c r="O20" s="495"/>
      <c r="Q20" s="59"/>
      <c r="R20" s="59"/>
    </row>
    <row r="21" spans="2:18" ht="16" thickBot="1" x14ac:dyDescent="0.25">
      <c r="B21" s="1104" t="s">
        <v>1186</v>
      </c>
      <c r="C21" s="1104"/>
      <c r="D21" s="1102">
        <v>1</v>
      </c>
      <c r="E21" s="1102"/>
      <c r="F21" s="1095" t="s">
        <v>1006</v>
      </c>
      <c r="G21" s="1095"/>
      <c r="H21" s="1095" t="s">
        <v>1154</v>
      </c>
      <c r="I21" s="1095"/>
      <c r="K21" s="60"/>
      <c r="L21" s="495"/>
      <c r="M21" s="495"/>
      <c r="N21" s="495"/>
      <c r="O21" s="495"/>
      <c r="Q21" s="59"/>
      <c r="R21" s="59"/>
    </row>
    <row r="22" spans="2:18" ht="16" thickBot="1" x14ac:dyDescent="0.25">
      <c r="B22" s="1104" t="s">
        <v>1187</v>
      </c>
      <c r="C22" s="1104"/>
      <c r="D22" s="1102">
        <v>2</v>
      </c>
      <c r="E22" s="1102"/>
      <c r="F22" s="1095" t="s">
        <v>1004</v>
      </c>
      <c r="G22" s="1095"/>
      <c r="H22" s="1095" t="s">
        <v>1154</v>
      </c>
      <c r="I22" s="1095"/>
      <c r="K22" s="60"/>
      <c r="L22" s="495"/>
      <c r="M22" s="495"/>
      <c r="N22" s="495"/>
      <c r="O22" s="495"/>
      <c r="Q22" s="59"/>
      <c r="R22" s="59"/>
    </row>
    <row r="23" spans="2:18" ht="16" thickBot="1" x14ac:dyDescent="0.25">
      <c r="B23" s="1104" t="s">
        <v>1188</v>
      </c>
      <c r="C23" s="1104"/>
      <c r="D23" s="1102">
        <v>1</v>
      </c>
      <c r="E23" s="1102"/>
      <c r="F23" s="1095" t="s">
        <v>1002</v>
      </c>
      <c r="G23" s="1095"/>
      <c r="H23" s="1095" t="s">
        <v>1154</v>
      </c>
      <c r="I23" s="1095"/>
      <c r="K23" s="60"/>
      <c r="L23" s="495"/>
      <c r="M23" s="495"/>
      <c r="N23" s="495"/>
      <c r="O23" s="495"/>
      <c r="Q23" s="59"/>
      <c r="R23" s="59"/>
    </row>
    <row r="24" spans="2:18" ht="16" thickBot="1" x14ac:dyDescent="0.25">
      <c r="B24" s="1104" t="s">
        <v>1189</v>
      </c>
      <c r="C24" s="1104"/>
      <c r="D24" s="1102">
        <v>1</v>
      </c>
      <c r="E24" s="1102"/>
      <c r="F24" s="1095" t="s">
        <v>1002</v>
      </c>
      <c r="G24" s="1095"/>
      <c r="H24" s="1095" t="s">
        <v>1154</v>
      </c>
      <c r="I24" s="1095"/>
      <c r="K24" s="60"/>
      <c r="L24" s="495"/>
      <c r="M24" s="495"/>
      <c r="N24" s="495"/>
      <c r="O24" s="495"/>
      <c r="Q24" s="59"/>
      <c r="R24" s="59"/>
    </row>
    <row r="25" spans="2:18" ht="16" thickBot="1" x14ac:dyDescent="0.25">
      <c r="B25" s="1104" t="s">
        <v>1190</v>
      </c>
      <c r="C25" s="1104"/>
      <c r="D25" s="1102">
        <v>1</v>
      </c>
      <c r="E25" s="1102"/>
      <c r="F25" s="1095" t="s">
        <v>1002</v>
      </c>
      <c r="G25" s="1095"/>
      <c r="H25" s="1095" t="s">
        <v>1154</v>
      </c>
      <c r="I25" s="1095"/>
      <c r="K25" s="60"/>
      <c r="L25" s="495"/>
      <c r="M25" s="495"/>
      <c r="N25" s="495"/>
      <c r="O25" s="495"/>
      <c r="Q25" s="59"/>
      <c r="R25" s="59"/>
    </row>
    <row r="26" spans="2:18" ht="16" thickBot="1" x14ac:dyDescent="0.25">
      <c r="B26" s="1104" t="s">
        <v>1191</v>
      </c>
      <c r="C26" s="1104"/>
      <c r="D26" s="1102">
        <v>1</v>
      </c>
      <c r="E26" s="1102"/>
      <c r="F26" s="1095" t="s">
        <v>1004</v>
      </c>
      <c r="G26" s="1095"/>
      <c r="H26" s="1095" t="s">
        <v>1154</v>
      </c>
      <c r="I26" s="1095"/>
      <c r="K26" s="60"/>
      <c r="L26" s="495"/>
      <c r="M26" s="495"/>
      <c r="N26" s="495"/>
      <c r="O26" s="495"/>
      <c r="Q26" s="59"/>
      <c r="R26" s="59"/>
    </row>
    <row r="27" spans="2:18" ht="16" thickBot="1" x14ac:dyDescent="0.25">
      <c r="B27" s="1104" t="s">
        <v>1192</v>
      </c>
      <c r="C27" s="1104"/>
      <c r="D27" s="1102">
        <v>1</v>
      </c>
      <c r="E27" s="1102"/>
      <c r="F27" s="1095" t="s">
        <v>1006</v>
      </c>
      <c r="G27" s="1095"/>
      <c r="H27" s="1095" t="s">
        <v>1154</v>
      </c>
      <c r="I27" s="1095"/>
      <c r="K27" s="60"/>
      <c r="L27" s="495"/>
      <c r="M27" s="495"/>
      <c r="N27" s="495"/>
      <c r="O27" s="495"/>
      <c r="Q27" s="59"/>
      <c r="R27" s="59"/>
    </row>
    <row r="28" spans="2:18" ht="26.25" customHeight="1" thickBot="1" x14ac:dyDescent="0.25">
      <c r="B28" s="1104" t="s">
        <v>1003</v>
      </c>
      <c r="C28" s="1104"/>
      <c r="D28" s="1102">
        <v>1</v>
      </c>
      <c r="E28" s="1102"/>
      <c r="F28" s="1095" t="s">
        <v>1002</v>
      </c>
      <c r="G28" s="1095"/>
      <c r="H28" s="1095" t="s">
        <v>1155</v>
      </c>
      <c r="I28" s="1095"/>
      <c r="K28" s="60"/>
      <c r="L28" s="495"/>
      <c r="M28" s="495"/>
      <c r="N28" s="495"/>
      <c r="O28" s="495"/>
      <c r="Q28" s="59"/>
      <c r="R28" s="59"/>
    </row>
    <row r="29" spans="2:18" ht="26.25" customHeight="1" thickBot="1" x14ac:dyDescent="0.25">
      <c r="B29" s="1104" t="s">
        <v>1193</v>
      </c>
      <c r="C29" s="1104"/>
      <c r="D29" s="1102">
        <v>1</v>
      </c>
      <c r="E29" s="1102"/>
      <c r="F29" s="1095" t="s">
        <v>1004</v>
      </c>
      <c r="G29" s="1095"/>
      <c r="H29" s="1095" t="s">
        <v>1155</v>
      </c>
      <c r="I29" s="1095"/>
      <c r="K29" s="60"/>
      <c r="L29" s="495"/>
      <c r="M29" s="495"/>
      <c r="N29" s="495"/>
      <c r="O29" s="495"/>
      <c r="Q29" s="59"/>
      <c r="R29" s="59"/>
    </row>
    <row r="30" spans="2:18" ht="16" thickBot="1" x14ac:dyDescent="0.25">
      <c r="B30" s="1110" t="s">
        <v>78</v>
      </c>
      <c r="C30" s="1110"/>
      <c r="D30" s="1105">
        <f>SUM(D15:D29)</f>
        <v>16</v>
      </c>
      <c r="E30" s="1105"/>
      <c r="F30" s="1105"/>
      <c r="G30" s="1105"/>
      <c r="H30" s="1109"/>
      <c r="I30" s="1109"/>
      <c r="K30" s="60"/>
      <c r="L30" s="56"/>
      <c r="M30" s="56"/>
      <c r="Q30" s="59"/>
      <c r="R30" s="59"/>
    </row>
    <row r="31" spans="2:18" x14ac:dyDescent="0.2">
      <c r="B31" s="33"/>
      <c r="Q31" s="59"/>
      <c r="R31" s="59"/>
    </row>
    <row r="32" spans="2:18" x14ac:dyDescent="0.2">
      <c r="B32" s="2"/>
      <c r="C32" s="13"/>
      <c r="D32" s="68"/>
      <c r="F32" s="49"/>
      <c r="G32" s="49"/>
      <c r="Q32" s="59"/>
      <c r="R32" s="59"/>
    </row>
    <row r="33" spans="2:20" x14ac:dyDescent="0.2">
      <c r="B33" s="1108" t="s">
        <v>8</v>
      </c>
      <c r="C33" s="1108"/>
      <c r="D33" s="1108"/>
      <c r="E33" s="1108"/>
      <c r="F33" s="1108"/>
      <c r="G33" s="1108"/>
      <c r="H33" s="1108"/>
      <c r="I33" s="1108"/>
      <c r="Q33" s="59"/>
      <c r="R33" s="59"/>
    </row>
    <row r="34" spans="2:20" ht="15" customHeight="1" thickBot="1" x14ac:dyDescent="0.25">
      <c r="B34" s="741" t="s">
        <v>536</v>
      </c>
      <c r="C34" s="741"/>
      <c r="D34" s="741" t="s">
        <v>537</v>
      </c>
      <c r="E34" s="741"/>
      <c r="F34" s="1106" t="s">
        <v>611</v>
      </c>
      <c r="G34" s="1106"/>
      <c r="H34" s="1106" t="s">
        <v>1074</v>
      </c>
      <c r="I34" s="1106"/>
    </row>
    <row r="35" spans="2:20" ht="29.25" customHeight="1" thickBot="1" x14ac:dyDescent="0.25">
      <c r="B35" s="1101" t="s">
        <v>1196</v>
      </c>
      <c r="C35" s="1101"/>
      <c r="D35" s="1102">
        <v>43</v>
      </c>
      <c r="E35" s="1102"/>
      <c r="F35" s="1103" t="s">
        <v>1154</v>
      </c>
      <c r="G35" s="1103"/>
      <c r="H35" s="1103" t="s">
        <v>921</v>
      </c>
      <c r="I35" s="1103"/>
      <c r="J35" s="1103" t="s">
        <v>966</v>
      </c>
      <c r="K35" s="1103"/>
    </row>
    <row r="36" spans="2:20" ht="33.75" customHeight="1" thickBot="1" x14ac:dyDescent="0.25">
      <c r="B36" s="1101" t="s">
        <v>1197</v>
      </c>
      <c r="C36" s="1101"/>
      <c r="D36" s="1102">
        <v>13</v>
      </c>
      <c r="E36" s="1102"/>
      <c r="F36" s="1095" t="s">
        <v>1154</v>
      </c>
      <c r="G36" s="1095"/>
      <c r="H36" s="1103" t="s">
        <v>921</v>
      </c>
      <c r="I36" s="1103"/>
      <c r="J36" s="1095" t="s">
        <v>966</v>
      </c>
      <c r="K36" s="1095"/>
      <c r="O36" s="692"/>
    </row>
    <row r="37" spans="2:20" ht="28.5" customHeight="1" thickBot="1" x14ac:dyDescent="0.25">
      <c r="B37" s="1101" t="s">
        <v>1198</v>
      </c>
      <c r="C37" s="1101"/>
      <c r="D37" s="1102">
        <v>10</v>
      </c>
      <c r="E37" s="1102"/>
      <c r="F37" s="1095" t="s">
        <v>1154</v>
      </c>
      <c r="G37" s="1095"/>
      <c r="H37" s="1103" t="s">
        <v>921</v>
      </c>
      <c r="I37" s="1103"/>
      <c r="J37" s="1095" t="s">
        <v>966</v>
      </c>
      <c r="K37" s="1095"/>
    </row>
    <row r="38" spans="2:20" ht="18.75" customHeight="1" thickBot="1" x14ac:dyDescent="0.25">
      <c r="B38" s="1101" t="s">
        <v>1199</v>
      </c>
      <c r="C38" s="1101"/>
      <c r="D38" s="1102">
        <v>10</v>
      </c>
      <c r="E38" s="1102"/>
      <c r="F38" s="1095" t="s">
        <v>1154</v>
      </c>
      <c r="G38" s="1095"/>
      <c r="H38" s="1103" t="s">
        <v>921</v>
      </c>
      <c r="I38" s="1103"/>
      <c r="J38" s="1095" t="s">
        <v>966</v>
      </c>
      <c r="K38" s="1095"/>
      <c r="L38" s="692"/>
      <c r="M38" s="692"/>
      <c r="N38" s="692"/>
      <c r="R38" s="236"/>
      <c r="S38" s="236"/>
      <c r="T38" s="236"/>
    </row>
    <row r="39" spans="2:20" ht="29.25" customHeight="1" thickBot="1" x14ac:dyDescent="0.25">
      <c r="B39" s="1101" t="s">
        <v>1200</v>
      </c>
      <c r="C39" s="1101"/>
      <c r="D39" s="1102">
        <v>29</v>
      </c>
      <c r="E39" s="1102"/>
      <c r="F39" s="1095" t="s">
        <v>1154</v>
      </c>
      <c r="G39" s="1095"/>
      <c r="H39" s="1103" t="s">
        <v>921</v>
      </c>
      <c r="I39" s="1103"/>
      <c r="J39" s="1095" t="s">
        <v>964</v>
      </c>
      <c r="K39" s="1095"/>
      <c r="L39" s="33"/>
    </row>
    <row r="40" spans="2:20" ht="18.75" customHeight="1" thickBot="1" x14ac:dyDescent="0.25">
      <c r="B40" s="1101" t="s">
        <v>1201</v>
      </c>
      <c r="C40" s="1101"/>
      <c r="D40" s="1102">
        <v>24</v>
      </c>
      <c r="E40" s="1102"/>
      <c r="F40" s="1095" t="s">
        <v>1154</v>
      </c>
      <c r="G40" s="1095"/>
      <c r="H40" s="1103" t="s">
        <v>921</v>
      </c>
      <c r="I40" s="1103"/>
      <c r="J40" s="1095" t="s">
        <v>1233</v>
      </c>
      <c r="K40" s="1095"/>
      <c r="L40" s="33"/>
    </row>
    <row r="41" spans="2:20" ht="15.75" customHeight="1" thickBot="1" x14ac:dyDescent="0.25">
      <c r="B41" s="1101" t="s">
        <v>1202</v>
      </c>
      <c r="C41" s="1101"/>
      <c r="D41" s="1102">
        <v>10</v>
      </c>
      <c r="E41" s="1102"/>
      <c r="F41" s="1095" t="s">
        <v>1154</v>
      </c>
      <c r="G41" s="1095"/>
      <c r="H41" s="1103" t="s">
        <v>921</v>
      </c>
      <c r="I41" s="1103"/>
      <c r="J41" s="1095" t="s">
        <v>1234</v>
      </c>
      <c r="K41" s="1095"/>
      <c r="L41" s="33"/>
    </row>
    <row r="42" spans="2:20" ht="26.25" customHeight="1" thickBot="1" x14ac:dyDescent="0.25">
      <c r="B42" s="1101" t="s">
        <v>1203</v>
      </c>
      <c r="C42" s="1101"/>
      <c r="D42" s="1102">
        <v>10</v>
      </c>
      <c r="E42" s="1102"/>
      <c r="F42" s="1095" t="s">
        <v>1154</v>
      </c>
      <c r="G42" s="1095"/>
      <c r="H42" s="1103" t="s">
        <v>921</v>
      </c>
      <c r="I42" s="1103"/>
      <c r="J42" s="1095" t="s">
        <v>996</v>
      </c>
      <c r="K42" s="1095"/>
      <c r="L42" s="33"/>
    </row>
    <row r="43" spans="2:20" ht="23.25" customHeight="1" thickBot="1" x14ac:dyDescent="0.25">
      <c r="B43" s="1101" t="s">
        <v>1204</v>
      </c>
      <c r="C43" s="1101"/>
      <c r="D43" s="1102">
        <v>30</v>
      </c>
      <c r="E43" s="1102"/>
      <c r="F43" s="1095" t="s">
        <v>1154</v>
      </c>
      <c r="G43" s="1095"/>
      <c r="H43" s="1103" t="s">
        <v>921</v>
      </c>
      <c r="I43" s="1103"/>
      <c r="J43" s="1095" t="s">
        <v>966</v>
      </c>
      <c r="K43" s="1095"/>
    </row>
    <row r="44" spans="2:20" ht="24.75" customHeight="1" thickBot="1" x14ac:dyDescent="0.25">
      <c r="B44" s="1101" t="s">
        <v>1205</v>
      </c>
      <c r="C44" s="1101"/>
      <c r="D44" s="1102">
        <v>30</v>
      </c>
      <c r="E44" s="1102"/>
      <c r="F44" s="1095" t="s">
        <v>1154</v>
      </c>
      <c r="G44" s="1095"/>
      <c r="H44" s="1103" t="s">
        <v>921</v>
      </c>
      <c r="I44" s="1103"/>
      <c r="J44" s="1095" t="s">
        <v>1235</v>
      </c>
      <c r="K44" s="1095"/>
    </row>
    <row r="45" spans="2:20" ht="36" customHeight="1" thickBot="1" x14ac:dyDescent="0.25">
      <c r="B45" s="1101" t="s">
        <v>1206</v>
      </c>
      <c r="C45" s="1101"/>
      <c r="D45" s="1102">
        <v>10</v>
      </c>
      <c r="E45" s="1102"/>
      <c r="F45" s="1095" t="s">
        <v>1154</v>
      </c>
      <c r="G45" s="1095"/>
      <c r="H45" s="1103" t="s">
        <v>921</v>
      </c>
      <c r="I45" s="1103"/>
      <c r="J45" s="1095" t="s">
        <v>964</v>
      </c>
      <c r="K45" s="1095"/>
    </row>
    <row r="46" spans="2:20" ht="23.25" customHeight="1" thickBot="1" x14ac:dyDescent="0.25">
      <c r="B46" s="1101" t="s">
        <v>1207</v>
      </c>
      <c r="C46" s="1101"/>
      <c r="D46" s="1102">
        <v>8</v>
      </c>
      <c r="E46" s="1102"/>
      <c r="F46" s="1095" t="s">
        <v>1154</v>
      </c>
      <c r="G46" s="1095"/>
      <c r="H46" s="1103" t="s">
        <v>921</v>
      </c>
      <c r="I46" s="1103"/>
      <c r="J46" s="1095" t="s">
        <v>1176</v>
      </c>
      <c r="K46" s="1095"/>
    </row>
    <row r="47" spans="2:20" ht="18" customHeight="1" thickBot="1" x14ac:dyDescent="0.25">
      <c r="B47" s="1101" t="s">
        <v>1208</v>
      </c>
      <c r="C47" s="1101"/>
      <c r="D47" s="1102">
        <v>4</v>
      </c>
      <c r="E47" s="1102"/>
      <c r="F47" s="1095" t="s">
        <v>1154</v>
      </c>
      <c r="G47" s="1095"/>
      <c r="H47" s="1103" t="s">
        <v>921</v>
      </c>
      <c r="I47" s="1103"/>
      <c r="J47" s="1095" t="s">
        <v>966</v>
      </c>
      <c r="K47" s="1095"/>
    </row>
    <row r="48" spans="2:20" ht="26.25" customHeight="1" thickBot="1" x14ac:dyDescent="0.25">
      <c r="B48" s="1101" t="s">
        <v>1209</v>
      </c>
      <c r="C48" s="1101"/>
      <c r="D48" s="1102">
        <v>6</v>
      </c>
      <c r="E48" s="1102"/>
      <c r="F48" s="1095" t="s">
        <v>1154</v>
      </c>
      <c r="G48" s="1095"/>
      <c r="H48" s="1103" t="s">
        <v>921</v>
      </c>
      <c r="I48" s="1103"/>
      <c r="J48" s="1095" t="s">
        <v>964</v>
      </c>
      <c r="K48" s="1095"/>
    </row>
    <row r="49" spans="2:11" ht="18" customHeight="1" thickBot="1" x14ac:dyDescent="0.25">
      <c r="B49" s="1101" t="s">
        <v>1210</v>
      </c>
      <c r="C49" s="1101"/>
      <c r="D49" s="1102">
        <v>14</v>
      </c>
      <c r="E49" s="1102"/>
      <c r="F49" s="1095" t="s">
        <v>1154</v>
      </c>
      <c r="G49" s="1095"/>
      <c r="H49" s="1103" t="s">
        <v>921</v>
      </c>
      <c r="I49" s="1103"/>
      <c r="J49" s="1095" t="s">
        <v>966</v>
      </c>
      <c r="K49" s="1095"/>
    </row>
    <row r="50" spans="2:11" ht="18.75" customHeight="1" thickBot="1" x14ac:dyDescent="0.25">
      <c r="B50" s="1101" t="s">
        <v>1211</v>
      </c>
      <c r="C50" s="1101"/>
      <c r="D50" s="1102">
        <v>7</v>
      </c>
      <c r="E50" s="1102"/>
      <c r="F50" s="1095" t="s">
        <v>1154</v>
      </c>
      <c r="G50" s="1095"/>
      <c r="H50" s="1103" t="s">
        <v>921</v>
      </c>
      <c r="I50" s="1103"/>
      <c r="J50" s="1095" t="s">
        <v>964</v>
      </c>
      <c r="K50" s="1095"/>
    </row>
    <row r="51" spans="2:11" ht="18" customHeight="1" thickBot="1" x14ac:dyDescent="0.25">
      <c r="B51" s="1101" t="s">
        <v>1212</v>
      </c>
      <c r="C51" s="1101"/>
      <c r="D51" s="1102">
        <v>5</v>
      </c>
      <c r="E51" s="1102"/>
      <c r="F51" s="1095" t="s">
        <v>1154</v>
      </c>
      <c r="G51" s="1095"/>
      <c r="H51" s="1103" t="s">
        <v>921</v>
      </c>
      <c r="I51" s="1103"/>
      <c r="J51" s="1095" t="s">
        <v>964</v>
      </c>
      <c r="K51" s="1095"/>
    </row>
    <row r="52" spans="2:11" ht="25.5" customHeight="1" thickBot="1" x14ac:dyDescent="0.25">
      <c r="B52" s="1101" t="s">
        <v>1213</v>
      </c>
      <c r="C52" s="1101"/>
      <c r="D52" s="1102">
        <v>1</v>
      </c>
      <c r="E52" s="1102"/>
      <c r="F52" s="1095" t="s">
        <v>1154</v>
      </c>
      <c r="G52" s="1095"/>
      <c r="H52" s="1103" t="s">
        <v>921</v>
      </c>
      <c r="I52" s="1103"/>
      <c r="J52" s="1095" t="s">
        <v>964</v>
      </c>
      <c r="K52" s="1095"/>
    </row>
    <row r="53" spans="2:11" ht="18.75" customHeight="1" thickBot="1" x14ac:dyDescent="0.25">
      <c r="B53" s="1101" t="s">
        <v>1214</v>
      </c>
      <c r="C53" s="1101"/>
      <c r="D53" s="1102">
        <v>2</v>
      </c>
      <c r="E53" s="1102"/>
      <c r="F53" s="1095" t="s">
        <v>1154</v>
      </c>
      <c r="G53" s="1095"/>
      <c r="H53" s="1103" t="s">
        <v>921</v>
      </c>
      <c r="I53" s="1103"/>
      <c r="J53" s="1095" t="s">
        <v>92</v>
      </c>
      <c r="K53" s="1095"/>
    </row>
    <row r="54" spans="2:11" ht="18.75" customHeight="1" thickBot="1" x14ac:dyDescent="0.25">
      <c r="B54" s="1101" t="s">
        <v>1215</v>
      </c>
      <c r="C54" s="1101"/>
      <c r="D54" s="1102">
        <v>2</v>
      </c>
      <c r="E54" s="1102"/>
      <c r="F54" s="1095" t="s">
        <v>1154</v>
      </c>
      <c r="G54" s="1095"/>
      <c r="H54" s="1103" t="s">
        <v>921</v>
      </c>
      <c r="I54" s="1103"/>
      <c r="J54" s="1095" t="s">
        <v>92</v>
      </c>
      <c r="K54" s="1095"/>
    </row>
    <row r="55" spans="2:11" ht="18.75" customHeight="1" thickBot="1" x14ac:dyDescent="0.25">
      <c r="B55" s="1101" t="s">
        <v>1216</v>
      </c>
      <c r="C55" s="1101"/>
      <c r="D55" s="1102">
        <v>1</v>
      </c>
      <c r="E55" s="1102"/>
      <c r="F55" s="1095" t="s">
        <v>1154</v>
      </c>
      <c r="G55" s="1095"/>
      <c r="H55" s="1103" t="s">
        <v>921</v>
      </c>
      <c r="I55" s="1103"/>
      <c r="J55" s="1095" t="s">
        <v>92</v>
      </c>
      <c r="K55" s="1095"/>
    </row>
    <row r="56" spans="2:11" ht="33" customHeight="1" thickBot="1" x14ac:dyDescent="0.25">
      <c r="B56" s="1101" t="s">
        <v>1217</v>
      </c>
      <c r="C56" s="1101"/>
      <c r="D56" s="1102">
        <v>1</v>
      </c>
      <c r="E56" s="1102"/>
      <c r="F56" s="1095" t="s">
        <v>1154</v>
      </c>
      <c r="G56" s="1095"/>
      <c r="H56" s="1103" t="s">
        <v>921</v>
      </c>
      <c r="I56" s="1103"/>
      <c r="J56" s="1095" t="s">
        <v>1236</v>
      </c>
      <c r="K56" s="1095"/>
    </row>
    <row r="57" spans="2:11" ht="24" customHeight="1" thickBot="1" x14ac:dyDescent="0.25">
      <c r="B57" s="1101" t="s">
        <v>1218</v>
      </c>
      <c r="C57" s="1101"/>
      <c r="D57" s="1102">
        <v>1</v>
      </c>
      <c r="E57" s="1102"/>
      <c r="F57" s="1095" t="s">
        <v>1154</v>
      </c>
      <c r="G57" s="1095"/>
      <c r="H57" s="1103" t="s">
        <v>921</v>
      </c>
      <c r="I57" s="1103"/>
      <c r="J57" s="1095" t="s">
        <v>1236</v>
      </c>
      <c r="K57" s="1095"/>
    </row>
    <row r="58" spans="2:11" ht="25.5" customHeight="1" thickBot="1" x14ac:dyDescent="0.25">
      <c r="B58" s="1101" t="s">
        <v>1219</v>
      </c>
      <c r="C58" s="1101"/>
      <c r="D58" s="1102">
        <v>1</v>
      </c>
      <c r="E58" s="1102"/>
      <c r="F58" s="1095" t="s">
        <v>1154</v>
      </c>
      <c r="G58" s="1095"/>
      <c r="H58" s="1095" t="s">
        <v>922</v>
      </c>
      <c r="I58" s="1095"/>
      <c r="J58" s="1095" t="s">
        <v>1237</v>
      </c>
      <c r="K58" s="1095"/>
    </row>
    <row r="59" spans="2:11" ht="24.75" customHeight="1" thickBot="1" x14ac:dyDescent="0.25">
      <c r="B59" s="1101" t="s">
        <v>1220</v>
      </c>
      <c r="C59" s="1101"/>
      <c r="D59" s="1102">
        <v>1</v>
      </c>
      <c r="E59" s="1102"/>
      <c r="F59" s="1095" t="s">
        <v>1154</v>
      </c>
      <c r="G59" s="1095"/>
      <c r="H59" s="1095" t="s">
        <v>922</v>
      </c>
      <c r="I59" s="1095"/>
      <c r="J59" s="1095" t="s">
        <v>1238</v>
      </c>
      <c r="K59" s="1095"/>
    </row>
    <row r="60" spans="2:11" ht="25.5" customHeight="1" thickBot="1" x14ac:dyDescent="0.25">
      <c r="B60" s="1101" t="s">
        <v>1221</v>
      </c>
      <c r="C60" s="1101"/>
      <c r="D60" s="1102">
        <v>1</v>
      </c>
      <c r="E60" s="1102"/>
      <c r="F60" s="1095" t="s">
        <v>1154</v>
      </c>
      <c r="G60" s="1095"/>
      <c r="H60" s="1095" t="s">
        <v>922</v>
      </c>
      <c r="I60" s="1095"/>
      <c r="J60" s="1095" t="s">
        <v>1238</v>
      </c>
      <c r="K60" s="1095"/>
    </row>
    <row r="61" spans="2:11" ht="26.25" customHeight="1" thickBot="1" x14ac:dyDescent="0.25">
      <c r="B61" s="1101" t="s">
        <v>1222</v>
      </c>
      <c r="C61" s="1101"/>
      <c r="D61" s="1102">
        <v>1</v>
      </c>
      <c r="E61" s="1102"/>
      <c r="F61" s="1095" t="s">
        <v>1154</v>
      </c>
      <c r="G61" s="1095"/>
      <c r="H61" s="1095" t="s">
        <v>922</v>
      </c>
      <c r="I61" s="1095"/>
      <c r="J61" s="1095" t="s">
        <v>1239</v>
      </c>
      <c r="K61" s="1095"/>
    </row>
    <row r="62" spans="2:11" ht="18.75" customHeight="1" thickBot="1" x14ac:dyDescent="0.25">
      <c r="B62" s="1101" t="s">
        <v>1223</v>
      </c>
      <c r="C62" s="1101"/>
      <c r="D62" s="1102">
        <v>1</v>
      </c>
      <c r="E62" s="1102"/>
      <c r="F62" s="1095" t="s">
        <v>1154</v>
      </c>
      <c r="G62" s="1095"/>
      <c r="H62" s="1095" t="s">
        <v>922</v>
      </c>
      <c r="I62" s="1095"/>
      <c r="J62" s="1095" t="s">
        <v>1239</v>
      </c>
      <c r="K62" s="1095"/>
    </row>
    <row r="63" spans="2:11" ht="18.75" customHeight="1" thickBot="1" x14ac:dyDescent="0.25">
      <c r="B63" s="1101" t="s">
        <v>1224</v>
      </c>
      <c r="C63" s="1101"/>
      <c r="D63" s="1102">
        <v>1</v>
      </c>
      <c r="E63" s="1102"/>
      <c r="F63" s="1095" t="s">
        <v>1154</v>
      </c>
      <c r="G63" s="1095"/>
      <c r="H63" s="1095" t="s">
        <v>922</v>
      </c>
      <c r="I63" s="1095"/>
      <c r="J63" s="1095" t="s">
        <v>1239</v>
      </c>
      <c r="K63" s="1095"/>
    </row>
    <row r="64" spans="2:11" ht="18.75" customHeight="1" thickBot="1" x14ac:dyDescent="0.25">
      <c r="B64" s="1101" t="s">
        <v>1225</v>
      </c>
      <c r="C64" s="1101"/>
      <c r="D64" s="1102">
        <v>1</v>
      </c>
      <c r="E64" s="1102"/>
      <c r="F64" s="1095" t="s">
        <v>1154</v>
      </c>
      <c r="G64" s="1095"/>
      <c r="H64" s="1095" t="s">
        <v>922</v>
      </c>
      <c r="I64" s="1095"/>
      <c r="J64" s="1095" t="s">
        <v>1240</v>
      </c>
      <c r="K64" s="1095"/>
    </row>
    <row r="65" spans="2:11" ht="24.75" customHeight="1" thickBot="1" x14ac:dyDescent="0.25">
      <c r="B65" s="1101" t="s">
        <v>1226</v>
      </c>
      <c r="C65" s="1101"/>
      <c r="D65" s="1102">
        <v>1</v>
      </c>
      <c r="E65" s="1102"/>
      <c r="F65" s="1095" t="s">
        <v>1154</v>
      </c>
      <c r="G65" s="1095"/>
      <c r="H65" s="1095" t="s">
        <v>921</v>
      </c>
      <c r="I65" s="1095"/>
      <c r="J65" s="1095" t="s">
        <v>965</v>
      </c>
      <c r="K65" s="1095"/>
    </row>
    <row r="66" spans="2:11" ht="24.75" customHeight="1" thickBot="1" x14ac:dyDescent="0.25">
      <c r="B66" s="1101" t="s">
        <v>1227</v>
      </c>
      <c r="C66" s="1101"/>
      <c r="D66" s="1102">
        <v>1</v>
      </c>
      <c r="E66" s="1102"/>
      <c r="F66" s="1095" t="s">
        <v>1154</v>
      </c>
      <c r="G66" s="1095"/>
      <c r="H66" s="1095" t="s">
        <v>921</v>
      </c>
      <c r="I66" s="1095"/>
      <c r="J66" s="1095" t="s">
        <v>967</v>
      </c>
      <c r="K66" s="1095"/>
    </row>
    <row r="67" spans="2:11" ht="24" customHeight="1" thickBot="1" x14ac:dyDescent="0.25">
      <c r="B67" s="1101" t="s">
        <v>1228</v>
      </c>
      <c r="C67" s="1101"/>
      <c r="D67" s="1102">
        <v>1</v>
      </c>
      <c r="E67" s="1102"/>
      <c r="F67" s="1095" t="s">
        <v>1154</v>
      </c>
      <c r="G67" s="1095"/>
      <c r="H67" s="1095" t="s">
        <v>922</v>
      </c>
      <c r="I67" s="1095"/>
      <c r="J67" s="1095" t="s">
        <v>1241</v>
      </c>
      <c r="K67" s="1095"/>
    </row>
    <row r="68" spans="2:11" ht="24" customHeight="1" thickBot="1" x14ac:dyDescent="0.25">
      <c r="B68" s="1101" t="s">
        <v>1229</v>
      </c>
      <c r="C68" s="1101"/>
      <c r="D68" s="1102">
        <v>1</v>
      </c>
      <c r="E68" s="1102"/>
      <c r="F68" s="1095" t="s">
        <v>1154</v>
      </c>
      <c r="G68" s="1095"/>
      <c r="H68" s="1095" t="s">
        <v>1442</v>
      </c>
      <c r="I68" s="1095"/>
      <c r="J68" s="1095" t="s">
        <v>440</v>
      </c>
      <c r="K68" s="1095"/>
    </row>
    <row r="69" spans="2:11" ht="25.5" customHeight="1" thickBot="1" x14ac:dyDescent="0.25">
      <c r="B69" s="1101" t="s">
        <v>1230</v>
      </c>
      <c r="C69" s="1101"/>
      <c r="D69" s="1102">
        <v>1</v>
      </c>
      <c r="E69" s="1102"/>
      <c r="F69" s="1095" t="s">
        <v>1154</v>
      </c>
      <c r="G69" s="1095"/>
      <c r="H69" s="1095" t="s">
        <v>1442</v>
      </c>
      <c r="I69" s="1095"/>
      <c r="J69" s="1095" t="s">
        <v>440</v>
      </c>
      <c r="K69" s="1095"/>
    </row>
    <row r="70" spans="2:11" ht="24" customHeight="1" thickBot="1" x14ac:dyDescent="0.25">
      <c r="B70" s="1101" t="s">
        <v>1231</v>
      </c>
      <c r="C70" s="1101"/>
      <c r="D70" s="1102">
        <v>1</v>
      </c>
      <c r="E70" s="1102"/>
      <c r="F70" s="1095" t="s">
        <v>1154</v>
      </c>
      <c r="G70" s="1095"/>
      <c r="H70" s="1095" t="s">
        <v>1442</v>
      </c>
      <c r="I70" s="1095"/>
      <c r="J70" s="1095" t="s">
        <v>440</v>
      </c>
      <c r="K70" s="1095"/>
    </row>
    <row r="71" spans="2:11" ht="26.25" customHeight="1" thickBot="1" x14ac:dyDescent="0.25">
      <c r="B71" s="1101" t="s">
        <v>1232</v>
      </c>
      <c r="C71" s="1101"/>
      <c r="D71" s="1102">
        <v>1</v>
      </c>
      <c r="E71" s="1102"/>
      <c r="F71" s="1095" t="s">
        <v>1154</v>
      </c>
      <c r="G71" s="1095"/>
      <c r="H71" s="1095" t="s">
        <v>1442</v>
      </c>
      <c r="I71" s="1095"/>
      <c r="J71" s="1095" t="s">
        <v>440</v>
      </c>
      <c r="K71" s="1095"/>
    </row>
    <row r="72" spans="2:11" ht="21.75" customHeight="1" thickBot="1" x14ac:dyDescent="0.25">
      <c r="B72" s="1101" t="s">
        <v>1435</v>
      </c>
      <c r="C72" s="1101"/>
      <c r="D72" s="1102">
        <v>2</v>
      </c>
      <c r="E72" s="1102"/>
      <c r="F72" s="1095" t="s">
        <v>1154</v>
      </c>
      <c r="G72" s="1095"/>
      <c r="H72" s="1095" t="s">
        <v>1442</v>
      </c>
      <c r="I72" s="1095"/>
      <c r="J72" s="1095" t="s">
        <v>652</v>
      </c>
      <c r="K72" s="1095"/>
    </row>
    <row r="73" spans="2:11" ht="31.5" customHeight="1" thickBot="1" x14ac:dyDescent="0.25">
      <c r="B73" s="1101" t="s">
        <v>1436</v>
      </c>
      <c r="C73" s="1101"/>
      <c r="D73" s="1102">
        <v>1</v>
      </c>
      <c r="E73" s="1102"/>
      <c r="F73" s="1095" t="s">
        <v>1154</v>
      </c>
      <c r="G73" s="1095"/>
      <c r="H73" s="1095" t="s">
        <v>1442</v>
      </c>
      <c r="I73" s="1095"/>
      <c r="J73" s="1095" t="s">
        <v>652</v>
      </c>
      <c r="K73" s="1095"/>
    </row>
    <row r="74" spans="2:11" ht="15.75" customHeight="1" thickBot="1" x14ac:dyDescent="0.25">
      <c r="B74" s="1101" t="s">
        <v>1437</v>
      </c>
      <c r="C74" s="1101"/>
      <c r="D74" s="1102">
        <v>1</v>
      </c>
      <c r="E74" s="1102"/>
      <c r="F74" s="1095" t="s">
        <v>1154</v>
      </c>
      <c r="G74" s="1095"/>
      <c r="H74" s="1095" t="s">
        <v>1442</v>
      </c>
      <c r="I74" s="1095"/>
      <c r="J74" s="1095" t="s">
        <v>652</v>
      </c>
      <c r="K74" s="1095"/>
    </row>
    <row r="75" spans="2:11" ht="15.75" customHeight="1" thickBot="1" x14ac:dyDescent="0.25">
      <c r="B75" s="1101" t="s">
        <v>1438</v>
      </c>
      <c r="C75" s="1101"/>
      <c r="D75" s="1102">
        <v>1</v>
      </c>
      <c r="E75" s="1102"/>
      <c r="F75" s="1095" t="s">
        <v>1154</v>
      </c>
      <c r="G75" s="1095"/>
      <c r="H75" s="1095" t="s">
        <v>1442</v>
      </c>
      <c r="I75" s="1095"/>
      <c r="J75" s="1095" t="s">
        <v>652</v>
      </c>
      <c r="K75" s="1095"/>
    </row>
    <row r="76" spans="2:11" ht="15.75" customHeight="1" thickBot="1" x14ac:dyDescent="0.25">
      <c r="B76" s="1101" t="s">
        <v>1439</v>
      </c>
      <c r="C76" s="1101"/>
      <c r="D76" s="1102">
        <v>1</v>
      </c>
      <c r="E76" s="1102"/>
      <c r="F76" s="1095" t="s">
        <v>1154</v>
      </c>
      <c r="G76" s="1095"/>
      <c r="H76" s="1095" t="s">
        <v>1442</v>
      </c>
      <c r="I76" s="1095"/>
      <c r="J76" s="1095" t="s">
        <v>652</v>
      </c>
      <c r="K76" s="1095"/>
    </row>
    <row r="77" spans="2:11" ht="15.75" customHeight="1" thickBot="1" x14ac:dyDescent="0.25">
      <c r="B77" s="1101" t="s">
        <v>1440</v>
      </c>
      <c r="C77" s="1101"/>
      <c r="D77" s="1102">
        <v>3</v>
      </c>
      <c r="E77" s="1102"/>
      <c r="F77" s="1095" t="s">
        <v>1154</v>
      </c>
      <c r="G77" s="1095"/>
      <c r="H77" s="1095" t="s">
        <v>1442</v>
      </c>
      <c r="I77" s="1095"/>
      <c r="J77" s="1095" t="s">
        <v>652</v>
      </c>
      <c r="K77" s="1095"/>
    </row>
    <row r="78" spans="2:11" ht="15.75" customHeight="1" thickBot="1" x14ac:dyDescent="0.25">
      <c r="B78" s="1101" t="s">
        <v>1441</v>
      </c>
      <c r="C78" s="1101"/>
      <c r="D78" s="1102">
        <v>1</v>
      </c>
      <c r="E78" s="1102"/>
      <c r="F78" s="1095" t="s">
        <v>1154</v>
      </c>
      <c r="G78" s="1095"/>
      <c r="H78" s="1095" t="s">
        <v>1442</v>
      </c>
      <c r="I78" s="1095"/>
      <c r="J78" s="1095" t="s">
        <v>652</v>
      </c>
      <c r="K78" s="1095"/>
    </row>
    <row r="79" spans="2:11" ht="15.75" customHeight="1" thickBot="1" x14ac:dyDescent="0.25">
      <c r="B79" s="1101" t="s">
        <v>1435</v>
      </c>
      <c r="C79" s="1101"/>
      <c r="D79" s="1102">
        <v>2</v>
      </c>
      <c r="E79" s="1102"/>
      <c r="F79" s="1095" t="s">
        <v>1154</v>
      </c>
      <c r="G79" s="1095"/>
      <c r="H79" s="1095" t="s">
        <v>1442</v>
      </c>
      <c r="I79" s="1095"/>
      <c r="J79" s="1095" t="s">
        <v>652</v>
      </c>
      <c r="K79" s="1095"/>
    </row>
    <row r="80" spans="2:11" ht="15.75" customHeight="1" thickBot="1" x14ac:dyDescent="0.25">
      <c r="B80" s="1101" t="s">
        <v>1436</v>
      </c>
      <c r="C80" s="1101"/>
      <c r="D80" s="1102">
        <v>1</v>
      </c>
      <c r="E80" s="1102"/>
      <c r="F80" s="1095" t="s">
        <v>1154</v>
      </c>
      <c r="G80" s="1095"/>
      <c r="H80" s="1095" t="s">
        <v>1442</v>
      </c>
      <c r="I80" s="1095"/>
      <c r="J80" s="1095" t="s">
        <v>652</v>
      </c>
      <c r="K80" s="1095"/>
    </row>
    <row r="81" spans="2:11" ht="15.75" customHeight="1" thickBot="1" x14ac:dyDescent="0.25">
      <c r="B81" s="1101" t="s">
        <v>1437</v>
      </c>
      <c r="C81" s="1101"/>
      <c r="D81" s="1102">
        <v>1</v>
      </c>
      <c r="E81" s="1102"/>
      <c r="F81" s="1095" t="s">
        <v>1154</v>
      </c>
      <c r="G81" s="1095"/>
      <c r="H81" s="1095" t="s">
        <v>1442</v>
      </c>
      <c r="I81" s="1095"/>
      <c r="J81" s="1095" t="s">
        <v>652</v>
      </c>
      <c r="K81" s="1095"/>
    </row>
    <row r="82" spans="2:11" ht="15.75" customHeight="1" thickBot="1" x14ac:dyDescent="0.25">
      <c r="B82" s="1101" t="s">
        <v>1438</v>
      </c>
      <c r="C82" s="1101"/>
      <c r="D82" s="1102">
        <v>1</v>
      </c>
      <c r="E82" s="1102"/>
      <c r="F82" s="1095" t="s">
        <v>1154</v>
      </c>
      <c r="G82" s="1095"/>
      <c r="H82" s="1095" t="s">
        <v>1442</v>
      </c>
      <c r="I82" s="1095"/>
      <c r="J82" s="1095" t="s">
        <v>652</v>
      </c>
      <c r="K82" s="1095"/>
    </row>
    <row r="83" spans="2:11" ht="15.75" customHeight="1" thickBot="1" x14ac:dyDescent="0.25">
      <c r="B83" s="1101" t="s">
        <v>1439</v>
      </c>
      <c r="C83" s="1101"/>
      <c r="D83" s="1102">
        <v>1</v>
      </c>
      <c r="E83" s="1102"/>
      <c r="F83" s="1095" t="s">
        <v>1154</v>
      </c>
      <c r="G83" s="1095"/>
      <c r="H83" s="1095" t="s">
        <v>1442</v>
      </c>
      <c r="I83" s="1095"/>
      <c r="J83" s="1095" t="s">
        <v>652</v>
      </c>
      <c r="K83" s="1095"/>
    </row>
    <row r="84" spans="2:11" ht="15.75" customHeight="1" thickBot="1" x14ac:dyDescent="0.25">
      <c r="B84" s="1101" t="s">
        <v>1440</v>
      </c>
      <c r="C84" s="1101"/>
      <c r="D84" s="1102">
        <v>1</v>
      </c>
      <c r="E84" s="1102"/>
      <c r="F84" s="1095" t="s">
        <v>1154</v>
      </c>
      <c r="G84" s="1095"/>
      <c r="H84" s="1095" t="s">
        <v>1442</v>
      </c>
      <c r="I84" s="1095"/>
      <c r="J84" s="1095" t="s">
        <v>652</v>
      </c>
      <c r="K84" s="1095"/>
    </row>
    <row r="85" spans="2:11" ht="15.75" customHeight="1" thickBot="1" x14ac:dyDescent="0.25">
      <c r="B85" s="1101" t="s">
        <v>1441</v>
      </c>
      <c r="C85" s="1101"/>
      <c r="D85" s="1102">
        <v>1</v>
      </c>
      <c r="E85" s="1102"/>
      <c r="F85" s="1095" t="s">
        <v>1154</v>
      </c>
      <c r="G85" s="1095"/>
      <c r="H85" s="1095" t="s">
        <v>1442</v>
      </c>
      <c r="I85" s="1095"/>
      <c r="J85" s="1095" t="s">
        <v>652</v>
      </c>
      <c r="K85" s="1095"/>
    </row>
    <row r="86" spans="2:11" ht="15.75" customHeight="1" thickBot="1" x14ac:dyDescent="0.25">
      <c r="B86" s="1101" t="s">
        <v>1435</v>
      </c>
      <c r="C86" s="1101"/>
      <c r="D86" s="1102">
        <v>1</v>
      </c>
      <c r="E86" s="1102"/>
      <c r="F86" s="1095" t="s">
        <v>1154</v>
      </c>
      <c r="G86" s="1095"/>
      <c r="H86" s="1095" t="s">
        <v>1442</v>
      </c>
      <c r="I86" s="1095"/>
      <c r="J86" s="1095" t="s">
        <v>652</v>
      </c>
      <c r="K86" s="1095"/>
    </row>
    <row r="87" spans="2:11" ht="15.75" customHeight="1" thickBot="1" x14ac:dyDescent="0.25">
      <c r="B87" s="1101" t="s">
        <v>1436</v>
      </c>
      <c r="C87" s="1101"/>
      <c r="D87" s="1102">
        <v>1</v>
      </c>
      <c r="E87" s="1102"/>
      <c r="F87" s="1095" t="s">
        <v>1154</v>
      </c>
      <c r="G87" s="1095"/>
      <c r="H87" s="1095" t="s">
        <v>1442</v>
      </c>
      <c r="I87" s="1095"/>
      <c r="J87" s="1095" t="s">
        <v>652</v>
      </c>
      <c r="K87" s="1095"/>
    </row>
    <row r="88" spans="2:11" ht="15.75" customHeight="1" thickBot="1" x14ac:dyDescent="0.25">
      <c r="B88" s="1101" t="s">
        <v>1437</v>
      </c>
      <c r="C88" s="1101"/>
      <c r="D88" s="1102">
        <v>1</v>
      </c>
      <c r="E88" s="1102"/>
      <c r="F88" s="1095" t="s">
        <v>1154</v>
      </c>
      <c r="G88" s="1095"/>
      <c r="H88" s="1095" t="s">
        <v>1442</v>
      </c>
      <c r="I88" s="1095"/>
      <c r="J88" s="1095" t="s">
        <v>652</v>
      </c>
      <c r="K88" s="1095"/>
    </row>
    <row r="89" spans="2:11" ht="15.75" customHeight="1" thickBot="1" x14ac:dyDescent="0.25">
      <c r="B89" s="1101" t="s">
        <v>1438</v>
      </c>
      <c r="C89" s="1101"/>
      <c r="D89" s="1102">
        <v>2</v>
      </c>
      <c r="E89" s="1102"/>
      <c r="F89" s="1095" t="s">
        <v>1154</v>
      </c>
      <c r="G89" s="1095"/>
      <c r="H89" s="1095" t="s">
        <v>1442</v>
      </c>
      <c r="I89" s="1095"/>
      <c r="J89" s="1095" t="s">
        <v>652</v>
      </c>
      <c r="K89" s="1095"/>
    </row>
    <row r="90" spans="2:11" ht="15.75" customHeight="1" thickBot="1" x14ac:dyDescent="0.25">
      <c r="B90" s="1101" t="s">
        <v>1439</v>
      </c>
      <c r="C90" s="1101"/>
      <c r="D90" s="1102">
        <v>1</v>
      </c>
      <c r="E90" s="1102"/>
      <c r="F90" s="1095" t="s">
        <v>1154</v>
      </c>
      <c r="G90" s="1095"/>
      <c r="H90" s="1095" t="s">
        <v>1442</v>
      </c>
      <c r="I90" s="1095"/>
      <c r="J90" s="1095" t="s">
        <v>652</v>
      </c>
      <c r="K90" s="1095"/>
    </row>
    <row r="91" spans="2:11" ht="15.75" customHeight="1" thickBot="1" x14ac:dyDescent="0.25">
      <c r="B91" s="1101" t="s">
        <v>1440</v>
      </c>
      <c r="C91" s="1101"/>
      <c r="D91" s="1102">
        <v>1</v>
      </c>
      <c r="E91" s="1102"/>
      <c r="F91" s="1095" t="s">
        <v>1154</v>
      </c>
      <c r="G91" s="1095"/>
      <c r="H91" s="1095" t="s">
        <v>1442</v>
      </c>
      <c r="I91" s="1095"/>
      <c r="J91" s="1095" t="s">
        <v>652</v>
      </c>
      <c r="K91" s="1095"/>
    </row>
    <row r="92" spans="2:11" ht="15.75" customHeight="1" thickBot="1" x14ac:dyDescent="0.25">
      <c r="B92" s="1101" t="s">
        <v>1441</v>
      </c>
      <c r="C92" s="1101"/>
      <c r="D92" s="1102">
        <v>1</v>
      </c>
      <c r="E92" s="1102"/>
      <c r="F92" s="1095" t="s">
        <v>1154</v>
      </c>
      <c r="G92" s="1095"/>
      <c r="H92" s="1095" t="s">
        <v>1442</v>
      </c>
      <c r="I92" s="1095"/>
      <c r="J92" s="1095" t="s">
        <v>652</v>
      </c>
      <c r="K92" s="1095"/>
    </row>
    <row r="93" spans="2:11" ht="15.75" customHeight="1" thickBot="1" x14ac:dyDescent="0.25">
      <c r="B93" s="1101" t="s">
        <v>1435</v>
      </c>
      <c r="C93" s="1101"/>
      <c r="D93" s="1102">
        <v>1</v>
      </c>
      <c r="E93" s="1102"/>
      <c r="F93" s="1095" t="s">
        <v>1154</v>
      </c>
      <c r="G93" s="1095"/>
      <c r="H93" s="1095" t="s">
        <v>1442</v>
      </c>
      <c r="I93" s="1095"/>
      <c r="J93" s="1095" t="s">
        <v>652</v>
      </c>
      <c r="K93" s="1095"/>
    </row>
    <row r="94" spans="2:11" ht="15.75" customHeight="1" thickBot="1" x14ac:dyDescent="0.25">
      <c r="B94" s="1101" t="s">
        <v>1436</v>
      </c>
      <c r="C94" s="1101"/>
      <c r="D94" s="1102">
        <v>1</v>
      </c>
      <c r="E94" s="1102"/>
      <c r="F94" s="1095" t="s">
        <v>1154</v>
      </c>
      <c r="G94" s="1095"/>
      <c r="H94" s="1095" t="s">
        <v>1442</v>
      </c>
      <c r="I94" s="1095"/>
      <c r="J94" s="1095" t="s">
        <v>652</v>
      </c>
      <c r="K94" s="1095"/>
    </row>
    <row r="95" spans="2:11" ht="15.75" customHeight="1" thickBot="1" x14ac:dyDescent="0.25">
      <c r="B95" s="1101" t="s">
        <v>1437</v>
      </c>
      <c r="C95" s="1101"/>
      <c r="D95" s="1102">
        <v>1</v>
      </c>
      <c r="E95" s="1102"/>
      <c r="F95" s="1095" t="s">
        <v>1154</v>
      </c>
      <c r="G95" s="1095"/>
      <c r="H95" s="1095" t="s">
        <v>1442</v>
      </c>
      <c r="I95" s="1095"/>
      <c r="J95" s="1095" t="s">
        <v>652</v>
      </c>
      <c r="K95" s="1095"/>
    </row>
    <row r="96" spans="2:11" ht="15.75" customHeight="1" thickBot="1" x14ac:dyDescent="0.25">
      <c r="B96" s="1101" t="s">
        <v>1438</v>
      </c>
      <c r="C96" s="1101"/>
      <c r="D96" s="1102">
        <v>1</v>
      </c>
      <c r="E96" s="1102"/>
      <c r="F96" s="1095" t="s">
        <v>1154</v>
      </c>
      <c r="G96" s="1095"/>
      <c r="H96" s="1095" t="s">
        <v>1442</v>
      </c>
      <c r="I96" s="1095"/>
      <c r="J96" s="1095" t="s">
        <v>652</v>
      </c>
      <c r="K96" s="1095"/>
    </row>
    <row r="97" spans="2:11" ht="15.75" customHeight="1" thickBot="1" x14ac:dyDescent="0.25">
      <c r="B97" s="1101" t="s">
        <v>1439</v>
      </c>
      <c r="C97" s="1101"/>
      <c r="D97" s="1102">
        <v>1</v>
      </c>
      <c r="E97" s="1102"/>
      <c r="F97" s="1095" t="s">
        <v>1154</v>
      </c>
      <c r="G97" s="1095"/>
      <c r="H97" s="1095" t="s">
        <v>1442</v>
      </c>
      <c r="I97" s="1095"/>
      <c r="J97" s="1095" t="s">
        <v>652</v>
      </c>
      <c r="K97" s="1095"/>
    </row>
    <row r="98" spans="2:11" ht="15.75" customHeight="1" thickBot="1" x14ac:dyDescent="0.25">
      <c r="B98" s="1101" t="s">
        <v>1440</v>
      </c>
      <c r="C98" s="1101"/>
      <c r="D98" s="1102">
        <v>1</v>
      </c>
      <c r="E98" s="1102"/>
      <c r="F98" s="1095" t="s">
        <v>1154</v>
      </c>
      <c r="G98" s="1095"/>
      <c r="H98" s="1095" t="s">
        <v>1442</v>
      </c>
      <c r="I98" s="1095"/>
      <c r="J98" s="1095" t="s">
        <v>652</v>
      </c>
      <c r="K98" s="1095"/>
    </row>
    <row r="99" spans="2:11" ht="15.75" customHeight="1" thickBot="1" x14ac:dyDescent="0.25">
      <c r="B99" s="1101" t="s">
        <v>1441</v>
      </c>
      <c r="C99" s="1101"/>
      <c r="D99" s="1102">
        <v>1</v>
      </c>
      <c r="E99" s="1102"/>
      <c r="F99" s="1095" t="s">
        <v>1154</v>
      </c>
      <c r="G99" s="1095"/>
      <c r="H99" s="1095" t="s">
        <v>1442</v>
      </c>
      <c r="I99" s="1095"/>
      <c r="J99" s="1095" t="s">
        <v>652</v>
      </c>
      <c r="K99" s="1095"/>
    </row>
    <row r="100" spans="2:11" ht="15.75" customHeight="1" thickBot="1" x14ac:dyDescent="0.25">
      <c r="B100" s="1101" t="s">
        <v>1435</v>
      </c>
      <c r="C100" s="1101"/>
      <c r="D100" s="1102">
        <v>1</v>
      </c>
      <c r="E100" s="1102"/>
      <c r="F100" s="1095" t="s">
        <v>1154</v>
      </c>
      <c r="G100" s="1095"/>
      <c r="H100" s="1095" t="s">
        <v>1442</v>
      </c>
      <c r="I100" s="1095"/>
      <c r="J100" s="1095" t="s">
        <v>652</v>
      </c>
      <c r="K100" s="1095"/>
    </row>
    <row r="101" spans="2:11" ht="15.75" customHeight="1" thickBot="1" x14ac:dyDescent="0.25">
      <c r="B101" s="1101" t="s">
        <v>1436</v>
      </c>
      <c r="C101" s="1101"/>
      <c r="D101" s="1102">
        <v>1</v>
      </c>
      <c r="E101" s="1102"/>
      <c r="F101" s="1095" t="s">
        <v>1154</v>
      </c>
      <c r="G101" s="1095"/>
      <c r="H101" s="1095" t="s">
        <v>1442</v>
      </c>
      <c r="I101" s="1095"/>
      <c r="J101" s="1095" t="s">
        <v>652</v>
      </c>
      <c r="K101" s="1095"/>
    </row>
    <row r="102" spans="2:11" ht="15.75" customHeight="1" thickBot="1" x14ac:dyDescent="0.25">
      <c r="B102" s="1101" t="s">
        <v>1437</v>
      </c>
      <c r="C102" s="1101"/>
      <c r="D102" s="1102">
        <v>1</v>
      </c>
      <c r="E102" s="1102"/>
      <c r="F102" s="1095" t="s">
        <v>1154</v>
      </c>
      <c r="G102" s="1095"/>
      <c r="H102" s="1095" t="s">
        <v>1442</v>
      </c>
      <c r="I102" s="1095"/>
      <c r="J102" s="1095" t="s">
        <v>652</v>
      </c>
      <c r="K102" s="1095"/>
    </row>
    <row r="103" spans="2:11" ht="15.75" customHeight="1" thickBot="1" x14ac:dyDescent="0.25">
      <c r="B103" s="1101" t="s">
        <v>1438</v>
      </c>
      <c r="C103" s="1101"/>
      <c r="D103" s="1102">
        <v>1</v>
      </c>
      <c r="E103" s="1102"/>
      <c r="F103" s="1095" t="s">
        <v>1154</v>
      </c>
      <c r="G103" s="1095"/>
      <c r="H103" s="1095" t="s">
        <v>1442</v>
      </c>
      <c r="I103" s="1095"/>
      <c r="J103" s="1095" t="s">
        <v>652</v>
      </c>
      <c r="K103" s="1095"/>
    </row>
    <row r="104" spans="2:11" ht="15.75" customHeight="1" thickBot="1" x14ac:dyDescent="0.25">
      <c r="B104" s="1101" t="s">
        <v>1439</v>
      </c>
      <c r="C104" s="1101"/>
      <c r="D104" s="1102">
        <v>1</v>
      </c>
      <c r="E104" s="1102"/>
      <c r="F104" s="1095" t="s">
        <v>1154</v>
      </c>
      <c r="G104" s="1095"/>
      <c r="H104" s="1095" t="s">
        <v>1442</v>
      </c>
      <c r="I104" s="1095"/>
      <c r="J104" s="1095" t="s">
        <v>652</v>
      </c>
      <c r="K104" s="1095"/>
    </row>
    <row r="105" spans="2:11" ht="15.75" customHeight="1" thickBot="1" x14ac:dyDescent="0.25">
      <c r="B105" s="1101" t="s">
        <v>1440</v>
      </c>
      <c r="C105" s="1101"/>
      <c r="D105" s="1102">
        <v>1</v>
      </c>
      <c r="E105" s="1102"/>
      <c r="F105" s="1095" t="s">
        <v>1154</v>
      </c>
      <c r="G105" s="1095"/>
      <c r="H105" s="1095" t="s">
        <v>1442</v>
      </c>
      <c r="I105" s="1095"/>
      <c r="J105" s="1095" t="s">
        <v>652</v>
      </c>
      <c r="K105" s="1095"/>
    </row>
    <row r="106" spans="2:11" ht="15.75" customHeight="1" thickBot="1" x14ac:dyDescent="0.25">
      <c r="B106" s="1101" t="s">
        <v>1441</v>
      </c>
      <c r="C106" s="1101"/>
      <c r="D106" s="1102">
        <v>1</v>
      </c>
      <c r="E106" s="1102"/>
      <c r="F106" s="1095" t="s">
        <v>1154</v>
      </c>
      <c r="G106" s="1095"/>
      <c r="H106" s="1095" t="s">
        <v>1442</v>
      </c>
      <c r="I106" s="1095"/>
      <c r="J106" s="1095" t="s">
        <v>652</v>
      </c>
      <c r="K106" s="1095"/>
    </row>
    <row r="107" spans="2:11" ht="15.75" customHeight="1" thickBot="1" x14ac:dyDescent="0.25">
      <c r="B107" s="1101" t="s">
        <v>1435</v>
      </c>
      <c r="C107" s="1101"/>
      <c r="D107" s="1102">
        <v>1</v>
      </c>
      <c r="E107" s="1102"/>
      <c r="F107" s="1095" t="s">
        <v>1154</v>
      </c>
      <c r="G107" s="1095"/>
      <c r="H107" s="1095" t="s">
        <v>1442</v>
      </c>
      <c r="I107" s="1095"/>
      <c r="J107" s="1095" t="s">
        <v>652</v>
      </c>
      <c r="K107" s="1095"/>
    </row>
    <row r="108" spans="2:11" ht="15.75" customHeight="1" thickBot="1" x14ac:dyDescent="0.25">
      <c r="B108" s="1101" t="s">
        <v>1436</v>
      </c>
      <c r="C108" s="1101"/>
      <c r="D108" s="1102">
        <v>1</v>
      </c>
      <c r="E108" s="1102"/>
      <c r="F108" s="1095" t="s">
        <v>1154</v>
      </c>
      <c r="G108" s="1095"/>
      <c r="H108" s="1095" t="s">
        <v>1442</v>
      </c>
      <c r="I108" s="1095"/>
      <c r="J108" s="1095" t="s">
        <v>652</v>
      </c>
      <c r="K108" s="1095"/>
    </row>
    <row r="109" spans="2:11" ht="15.75" customHeight="1" thickBot="1" x14ac:dyDescent="0.25">
      <c r="B109" s="1101" t="s">
        <v>1437</v>
      </c>
      <c r="C109" s="1101"/>
      <c r="D109" s="1102">
        <v>1</v>
      </c>
      <c r="E109" s="1102"/>
      <c r="F109" s="1095" t="s">
        <v>1154</v>
      </c>
      <c r="G109" s="1095"/>
      <c r="H109" s="1095" t="s">
        <v>1442</v>
      </c>
      <c r="I109" s="1095"/>
      <c r="J109" s="1095" t="s">
        <v>652</v>
      </c>
      <c r="K109" s="1095"/>
    </row>
    <row r="110" spans="2:11" ht="15.75" customHeight="1" thickBot="1" x14ac:dyDescent="0.25">
      <c r="B110" s="1101" t="s">
        <v>1438</v>
      </c>
      <c r="C110" s="1101"/>
      <c r="D110" s="1102">
        <v>1</v>
      </c>
      <c r="E110" s="1102"/>
      <c r="F110" s="1095" t="s">
        <v>1154</v>
      </c>
      <c r="G110" s="1095"/>
      <c r="H110" s="1095" t="s">
        <v>1442</v>
      </c>
      <c r="I110" s="1095"/>
      <c r="J110" s="1095" t="s">
        <v>652</v>
      </c>
      <c r="K110" s="1095"/>
    </row>
    <row r="111" spans="2:11" ht="15.75" customHeight="1" thickBot="1" x14ac:dyDescent="0.25">
      <c r="B111" s="1101" t="s">
        <v>1439</v>
      </c>
      <c r="C111" s="1101"/>
      <c r="D111" s="1102">
        <v>1</v>
      </c>
      <c r="E111" s="1102"/>
      <c r="F111" s="1095" t="s">
        <v>1154</v>
      </c>
      <c r="G111" s="1095"/>
      <c r="H111" s="1095" t="s">
        <v>1442</v>
      </c>
      <c r="I111" s="1095"/>
      <c r="J111" s="1095" t="s">
        <v>652</v>
      </c>
      <c r="K111" s="1095"/>
    </row>
    <row r="112" spans="2:11" ht="15.75" customHeight="1" thickBot="1" x14ac:dyDescent="0.25">
      <c r="B112" s="1101" t="s">
        <v>1440</v>
      </c>
      <c r="C112" s="1101"/>
      <c r="D112" s="1102">
        <v>1</v>
      </c>
      <c r="E112" s="1102"/>
      <c r="F112" s="1095" t="s">
        <v>1154</v>
      </c>
      <c r="G112" s="1095"/>
      <c r="H112" s="1095" t="s">
        <v>1442</v>
      </c>
      <c r="I112" s="1095"/>
      <c r="J112" s="1095" t="s">
        <v>652</v>
      </c>
      <c r="K112" s="1095"/>
    </row>
    <row r="113" spans="2:11" ht="15.75" customHeight="1" thickBot="1" x14ac:dyDescent="0.25">
      <c r="B113" s="1101" t="s">
        <v>1441</v>
      </c>
      <c r="C113" s="1101"/>
      <c r="D113" s="1102">
        <v>1</v>
      </c>
      <c r="E113" s="1102"/>
      <c r="F113" s="1095" t="s">
        <v>1154</v>
      </c>
      <c r="G113" s="1095"/>
      <c r="H113" s="1095" t="s">
        <v>1442</v>
      </c>
      <c r="I113" s="1095"/>
      <c r="J113" s="1095" t="s">
        <v>652</v>
      </c>
      <c r="K113" s="1095"/>
    </row>
    <row r="114" spans="2:11" ht="15.75" customHeight="1" thickBot="1" x14ac:dyDescent="0.25">
      <c r="B114" s="1101" t="s">
        <v>1435</v>
      </c>
      <c r="C114" s="1101"/>
      <c r="D114" s="1102">
        <v>1</v>
      </c>
      <c r="E114" s="1102"/>
      <c r="F114" s="1095" t="s">
        <v>1154</v>
      </c>
      <c r="G114" s="1095"/>
      <c r="H114" s="1095" t="s">
        <v>1442</v>
      </c>
      <c r="I114" s="1095"/>
      <c r="J114" s="1095" t="s">
        <v>652</v>
      </c>
      <c r="K114" s="1095"/>
    </row>
    <row r="115" spans="2:11" ht="15.75" customHeight="1" thickBot="1" x14ac:dyDescent="0.25">
      <c r="B115" s="1101" t="s">
        <v>1436</v>
      </c>
      <c r="C115" s="1101"/>
      <c r="D115" s="1102">
        <v>1</v>
      </c>
      <c r="E115" s="1102"/>
      <c r="F115" s="1095" t="s">
        <v>1154</v>
      </c>
      <c r="G115" s="1095"/>
      <c r="H115" s="1095" t="s">
        <v>1442</v>
      </c>
      <c r="I115" s="1095"/>
      <c r="J115" s="1095" t="s">
        <v>652</v>
      </c>
      <c r="K115" s="1095"/>
    </row>
    <row r="116" spans="2:11" ht="15.75" customHeight="1" thickBot="1" x14ac:dyDescent="0.25">
      <c r="B116" s="1101" t="s">
        <v>1437</v>
      </c>
      <c r="C116" s="1101"/>
      <c r="D116" s="1102">
        <v>1</v>
      </c>
      <c r="E116" s="1102"/>
      <c r="F116" s="1095" t="s">
        <v>1154</v>
      </c>
      <c r="G116" s="1095"/>
      <c r="H116" s="1095" t="s">
        <v>1442</v>
      </c>
      <c r="I116" s="1095"/>
      <c r="J116" s="1095" t="s">
        <v>652</v>
      </c>
      <c r="K116" s="1095"/>
    </row>
    <row r="117" spans="2:11" ht="15.75" customHeight="1" thickBot="1" x14ac:dyDescent="0.25">
      <c r="B117" s="1101" t="s">
        <v>1438</v>
      </c>
      <c r="C117" s="1101"/>
      <c r="D117" s="1102">
        <v>1</v>
      </c>
      <c r="E117" s="1102"/>
      <c r="F117" s="1095" t="s">
        <v>1154</v>
      </c>
      <c r="G117" s="1095"/>
      <c r="H117" s="1095" t="s">
        <v>1442</v>
      </c>
      <c r="I117" s="1095"/>
      <c r="J117" s="1095" t="s">
        <v>652</v>
      </c>
      <c r="K117" s="1095"/>
    </row>
    <row r="118" spans="2:11" ht="15.75" customHeight="1" thickBot="1" x14ac:dyDescent="0.25">
      <c r="B118" s="1101" t="s">
        <v>1439</v>
      </c>
      <c r="C118" s="1101"/>
      <c r="D118" s="1102">
        <v>1</v>
      </c>
      <c r="E118" s="1102"/>
      <c r="F118" s="1095" t="s">
        <v>1154</v>
      </c>
      <c r="G118" s="1095"/>
      <c r="H118" s="1095" t="s">
        <v>1442</v>
      </c>
      <c r="I118" s="1095"/>
      <c r="J118" s="1095" t="s">
        <v>652</v>
      </c>
      <c r="K118" s="1095"/>
    </row>
    <row r="119" spans="2:11" ht="15.75" customHeight="1" thickBot="1" x14ac:dyDescent="0.25">
      <c r="B119" s="1101" t="s">
        <v>1440</v>
      </c>
      <c r="C119" s="1101"/>
      <c r="D119" s="1102">
        <v>1</v>
      </c>
      <c r="E119" s="1102"/>
      <c r="F119" s="1095" t="s">
        <v>1154</v>
      </c>
      <c r="G119" s="1095"/>
      <c r="H119" s="1095" t="s">
        <v>1442</v>
      </c>
      <c r="I119" s="1095"/>
      <c r="J119" s="1095" t="s">
        <v>652</v>
      </c>
      <c r="K119" s="1095"/>
    </row>
    <row r="120" spans="2:11" ht="15.75" customHeight="1" thickBot="1" x14ac:dyDescent="0.25">
      <c r="B120" s="1101" t="s">
        <v>1441</v>
      </c>
      <c r="C120" s="1101"/>
      <c r="D120" s="1102">
        <v>1</v>
      </c>
      <c r="E120" s="1102"/>
      <c r="F120" s="1095" t="s">
        <v>1154</v>
      </c>
      <c r="G120" s="1095"/>
      <c r="H120" s="1095" t="s">
        <v>1442</v>
      </c>
      <c r="I120" s="1095"/>
      <c r="J120" s="1095" t="s">
        <v>652</v>
      </c>
      <c r="K120" s="1095"/>
    </row>
    <row r="121" spans="2:11" ht="16" thickBot="1" x14ac:dyDescent="0.25">
      <c r="B121" s="1101" t="s">
        <v>1435</v>
      </c>
      <c r="C121" s="1101"/>
      <c r="D121" s="1102">
        <v>1</v>
      </c>
      <c r="E121" s="1102"/>
      <c r="F121" s="1095" t="s">
        <v>1154</v>
      </c>
      <c r="G121" s="1095"/>
      <c r="H121" s="1095" t="s">
        <v>1442</v>
      </c>
      <c r="I121" s="1095"/>
      <c r="J121" s="1095" t="s">
        <v>652</v>
      </c>
      <c r="K121" s="1095"/>
    </row>
    <row r="122" spans="2:11" ht="16" thickBot="1" x14ac:dyDescent="0.25">
      <c r="B122" s="1101" t="s">
        <v>1436</v>
      </c>
      <c r="C122" s="1101"/>
      <c r="D122" s="1102">
        <v>1</v>
      </c>
      <c r="E122" s="1102"/>
      <c r="F122" s="1095" t="s">
        <v>1154</v>
      </c>
      <c r="G122" s="1095"/>
      <c r="H122" s="1095" t="s">
        <v>1442</v>
      </c>
      <c r="I122" s="1095"/>
      <c r="J122" s="1095" t="s">
        <v>652</v>
      </c>
      <c r="K122" s="1095"/>
    </row>
    <row r="123" spans="2:11" ht="16" thickBot="1" x14ac:dyDescent="0.25">
      <c r="B123" s="1101" t="s">
        <v>1437</v>
      </c>
      <c r="C123" s="1101"/>
      <c r="D123" s="1102">
        <v>1</v>
      </c>
      <c r="E123" s="1102"/>
      <c r="F123" s="1095" t="s">
        <v>1154</v>
      </c>
      <c r="G123" s="1095"/>
      <c r="H123" s="1095" t="s">
        <v>1442</v>
      </c>
      <c r="I123" s="1095"/>
      <c r="J123" s="1095" t="s">
        <v>652</v>
      </c>
      <c r="K123" s="1095"/>
    </row>
    <row r="124" spans="2:11" ht="16" thickBot="1" x14ac:dyDescent="0.25">
      <c r="B124" s="1101" t="s">
        <v>1438</v>
      </c>
      <c r="C124" s="1101"/>
      <c r="D124" s="1102">
        <v>1</v>
      </c>
      <c r="E124" s="1102"/>
      <c r="F124" s="1095" t="s">
        <v>1154</v>
      </c>
      <c r="G124" s="1095"/>
      <c r="H124" s="1095" t="s">
        <v>1442</v>
      </c>
      <c r="I124" s="1095"/>
      <c r="J124" s="1095" t="s">
        <v>652</v>
      </c>
      <c r="K124" s="1095"/>
    </row>
    <row r="125" spans="2:11" ht="16" thickBot="1" x14ac:dyDescent="0.25">
      <c r="B125" s="1101" t="s">
        <v>1439</v>
      </c>
      <c r="C125" s="1101"/>
      <c r="D125" s="1102">
        <v>1</v>
      </c>
      <c r="E125" s="1102"/>
      <c r="F125" s="1095" t="s">
        <v>1154</v>
      </c>
      <c r="G125" s="1095"/>
      <c r="H125" s="1095" t="s">
        <v>1442</v>
      </c>
      <c r="I125" s="1095"/>
      <c r="J125" s="1095" t="s">
        <v>652</v>
      </c>
      <c r="K125" s="1095"/>
    </row>
    <row r="126" spans="2:11" ht="16" thickBot="1" x14ac:dyDescent="0.25">
      <c r="B126" s="1101" t="s">
        <v>1440</v>
      </c>
      <c r="C126" s="1101"/>
      <c r="D126" s="1102">
        <v>1</v>
      </c>
      <c r="E126" s="1102"/>
      <c r="F126" s="1095" t="s">
        <v>1154</v>
      </c>
      <c r="G126" s="1095"/>
      <c r="H126" s="1095" t="s">
        <v>1442</v>
      </c>
      <c r="I126" s="1095"/>
      <c r="J126" s="1095" t="s">
        <v>652</v>
      </c>
      <c r="K126" s="1095"/>
    </row>
    <row r="127" spans="2:11" ht="16" thickBot="1" x14ac:dyDescent="0.25">
      <c r="B127" s="1101" t="s">
        <v>1441</v>
      </c>
      <c r="C127" s="1101"/>
      <c r="D127" s="1102">
        <v>1</v>
      </c>
      <c r="E127" s="1102"/>
      <c r="F127" s="1095" t="s">
        <v>1154</v>
      </c>
      <c r="G127" s="1095"/>
      <c r="H127" s="1095" t="s">
        <v>1442</v>
      </c>
      <c r="I127" s="1095"/>
      <c r="J127" s="1095" t="s">
        <v>652</v>
      </c>
      <c r="K127" s="1095"/>
    </row>
    <row r="128" spans="2:11" ht="16" thickBot="1" x14ac:dyDescent="0.25">
      <c r="B128" s="1101" t="s">
        <v>1435</v>
      </c>
      <c r="C128" s="1101"/>
      <c r="D128" s="1102">
        <v>1</v>
      </c>
      <c r="E128" s="1102"/>
      <c r="F128" s="1095" t="s">
        <v>1154</v>
      </c>
      <c r="G128" s="1095"/>
      <c r="H128" s="1095" t="s">
        <v>1442</v>
      </c>
      <c r="I128" s="1095"/>
      <c r="J128" s="1095" t="s">
        <v>652</v>
      </c>
      <c r="K128" s="1095"/>
    </row>
    <row r="129" spans="2:11" ht="16" thickBot="1" x14ac:dyDescent="0.25">
      <c r="B129" s="1101" t="s">
        <v>1436</v>
      </c>
      <c r="C129" s="1101"/>
      <c r="D129" s="1102">
        <v>1</v>
      </c>
      <c r="E129" s="1102"/>
      <c r="F129" s="1095" t="s">
        <v>1154</v>
      </c>
      <c r="G129" s="1095"/>
      <c r="H129" s="1095" t="s">
        <v>1442</v>
      </c>
      <c r="I129" s="1095"/>
      <c r="J129" s="1095" t="s">
        <v>652</v>
      </c>
      <c r="K129" s="1095"/>
    </row>
    <row r="130" spans="2:11" ht="16" thickBot="1" x14ac:dyDescent="0.25">
      <c r="B130" s="1101" t="s">
        <v>1437</v>
      </c>
      <c r="C130" s="1101"/>
      <c r="D130" s="1102">
        <v>1</v>
      </c>
      <c r="E130" s="1102"/>
      <c r="F130" s="1095" t="s">
        <v>1154</v>
      </c>
      <c r="G130" s="1095"/>
      <c r="H130" s="1095" t="s">
        <v>1442</v>
      </c>
      <c r="I130" s="1095"/>
      <c r="J130" s="1095" t="s">
        <v>652</v>
      </c>
      <c r="K130" s="1095"/>
    </row>
    <row r="131" spans="2:11" ht="16" thickBot="1" x14ac:dyDescent="0.25">
      <c r="B131" s="1101" t="s">
        <v>1438</v>
      </c>
      <c r="C131" s="1101"/>
      <c r="D131" s="1102">
        <v>3</v>
      </c>
      <c r="E131" s="1102"/>
      <c r="F131" s="1095" t="s">
        <v>1155</v>
      </c>
      <c r="G131" s="1095"/>
      <c r="H131" s="1095" t="s">
        <v>1442</v>
      </c>
      <c r="I131" s="1095"/>
      <c r="J131" s="1095" t="s">
        <v>652</v>
      </c>
      <c r="K131" s="1095"/>
    </row>
    <row r="132" spans="2:11" ht="15.75" customHeight="1" thickBot="1" x14ac:dyDescent="0.25">
      <c r="B132" s="1101" t="s">
        <v>1439</v>
      </c>
      <c r="C132" s="1101"/>
      <c r="D132" s="1102">
        <v>6</v>
      </c>
      <c r="E132" s="1102"/>
      <c r="F132" s="1095" t="s">
        <v>1155</v>
      </c>
      <c r="G132" s="1095"/>
      <c r="H132" s="1095" t="s">
        <v>1442</v>
      </c>
      <c r="I132" s="1095"/>
      <c r="J132" s="1095" t="s">
        <v>652</v>
      </c>
      <c r="K132" s="1095"/>
    </row>
    <row r="133" spans="2:11" ht="15.75" customHeight="1" thickBot="1" x14ac:dyDescent="0.25">
      <c r="B133" s="1101" t="s">
        <v>1440</v>
      </c>
      <c r="C133" s="1101"/>
      <c r="D133" s="1102">
        <v>2</v>
      </c>
      <c r="E133" s="1102"/>
      <c r="F133" s="1095" t="s">
        <v>1155</v>
      </c>
      <c r="G133" s="1095"/>
      <c r="H133" s="1095" t="s">
        <v>1442</v>
      </c>
      <c r="I133" s="1095"/>
      <c r="J133" s="1095" t="s">
        <v>652</v>
      </c>
      <c r="K133" s="1095"/>
    </row>
    <row r="134" spans="2:11" ht="15.75" customHeight="1" thickBot="1" x14ac:dyDescent="0.25">
      <c r="B134" s="1101" t="s">
        <v>1441</v>
      </c>
      <c r="C134" s="1101"/>
      <c r="D134" s="1102">
        <v>1</v>
      </c>
      <c r="E134" s="1102"/>
      <c r="F134" s="1095" t="s">
        <v>1155</v>
      </c>
      <c r="G134" s="1095"/>
      <c r="H134" s="1095" t="s">
        <v>1442</v>
      </c>
      <c r="I134" s="1095"/>
      <c r="J134" s="1095" t="s">
        <v>652</v>
      </c>
      <c r="K134" s="1095"/>
    </row>
    <row r="135" spans="2:11" ht="15.75" customHeight="1" thickBot="1" x14ac:dyDescent="0.25">
      <c r="B135" s="1101" t="s">
        <v>1435</v>
      </c>
      <c r="C135" s="1101"/>
      <c r="D135" s="1102">
        <v>6</v>
      </c>
      <c r="E135" s="1102"/>
      <c r="F135" s="1095" t="s">
        <v>1155</v>
      </c>
      <c r="G135" s="1095"/>
      <c r="H135" s="1095" t="s">
        <v>1442</v>
      </c>
      <c r="I135" s="1095"/>
      <c r="J135" s="1095" t="s">
        <v>652</v>
      </c>
      <c r="K135" s="1095"/>
    </row>
    <row r="136" spans="2:11" ht="15.75" customHeight="1" thickBot="1" x14ac:dyDescent="0.25">
      <c r="B136" s="1101" t="s">
        <v>1436</v>
      </c>
      <c r="C136" s="1101"/>
      <c r="D136" s="1102">
        <v>2</v>
      </c>
      <c r="E136" s="1102"/>
      <c r="F136" s="1095" t="s">
        <v>1155</v>
      </c>
      <c r="G136" s="1095"/>
      <c r="H136" s="1095" t="s">
        <v>1442</v>
      </c>
      <c r="I136" s="1095"/>
      <c r="J136" s="1095" t="s">
        <v>652</v>
      </c>
      <c r="K136" s="1095"/>
    </row>
    <row r="137" spans="2:11" ht="15.75" customHeight="1" thickBot="1" x14ac:dyDescent="0.25">
      <c r="B137" s="1101" t="s">
        <v>1437</v>
      </c>
      <c r="C137" s="1101"/>
      <c r="D137" s="1102">
        <v>2</v>
      </c>
      <c r="E137" s="1102"/>
      <c r="F137" s="1095" t="s">
        <v>1155</v>
      </c>
      <c r="G137" s="1095"/>
      <c r="H137" s="1095" t="s">
        <v>1442</v>
      </c>
      <c r="I137" s="1095"/>
      <c r="J137" s="1095" t="s">
        <v>652</v>
      </c>
      <c r="K137" s="1095"/>
    </row>
    <row r="138" spans="2:11" ht="15.75" customHeight="1" thickBot="1" x14ac:dyDescent="0.25">
      <c r="B138" s="1101" t="s">
        <v>1438</v>
      </c>
      <c r="C138" s="1101"/>
      <c r="D138" s="1102">
        <v>1</v>
      </c>
      <c r="E138" s="1102"/>
      <c r="F138" s="1095" t="s">
        <v>1155</v>
      </c>
      <c r="G138" s="1095"/>
      <c r="H138" s="1095" t="s">
        <v>1442</v>
      </c>
      <c r="I138" s="1095"/>
      <c r="J138" s="1095" t="s">
        <v>652</v>
      </c>
      <c r="K138" s="1095"/>
    </row>
    <row r="139" spans="2:11" ht="15.75" customHeight="1" thickBot="1" x14ac:dyDescent="0.25">
      <c r="B139" s="1101" t="s">
        <v>1439</v>
      </c>
      <c r="C139" s="1101"/>
      <c r="D139" s="1102">
        <v>1</v>
      </c>
      <c r="E139" s="1102"/>
      <c r="F139" s="1095" t="s">
        <v>1155</v>
      </c>
      <c r="G139" s="1095"/>
      <c r="H139" s="1095" t="s">
        <v>1442</v>
      </c>
      <c r="I139" s="1095"/>
      <c r="J139" s="1095" t="s">
        <v>652</v>
      </c>
      <c r="K139" s="1095"/>
    </row>
    <row r="140" spans="2:11" ht="15.75" customHeight="1" thickBot="1" x14ac:dyDescent="0.25">
      <c r="B140" s="1101" t="s">
        <v>1440</v>
      </c>
      <c r="C140" s="1101"/>
      <c r="D140" s="1102">
        <v>1</v>
      </c>
      <c r="E140" s="1102"/>
      <c r="F140" s="1095" t="s">
        <v>1155</v>
      </c>
      <c r="G140" s="1095"/>
      <c r="H140" s="1095" t="s">
        <v>1442</v>
      </c>
      <c r="I140" s="1095"/>
      <c r="J140" s="1095" t="s">
        <v>652</v>
      </c>
      <c r="K140" s="1095"/>
    </row>
    <row r="141" spans="2:11" ht="15.75" customHeight="1" thickBot="1" x14ac:dyDescent="0.25">
      <c r="B141" s="1101" t="s">
        <v>1441</v>
      </c>
      <c r="C141" s="1101"/>
      <c r="D141" s="1102">
        <v>6</v>
      </c>
      <c r="E141" s="1102"/>
      <c r="F141" s="1095" t="s">
        <v>1155</v>
      </c>
      <c r="G141" s="1095"/>
      <c r="H141" s="1095" t="s">
        <v>1442</v>
      </c>
      <c r="I141" s="1095"/>
      <c r="J141" s="1095" t="s">
        <v>652</v>
      </c>
      <c r="K141" s="1095"/>
    </row>
    <row r="142" spans="2:11" ht="15.75" customHeight="1" thickBot="1" x14ac:dyDescent="0.25">
      <c r="B142" s="1101" t="s">
        <v>1435</v>
      </c>
      <c r="C142" s="1101"/>
      <c r="D142" s="1102">
        <v>1</v>
      </c>
      <c r="E142" s="1102"/>
      <c r="F142" s="1095" t="s">
        <v>1155</v>
      </c>
      <c r="G142" s="1095"/>
      <c r="H142" s="1095" t="s">
        <v>1442</v>
      </c>
      <c r="I142" s="1095"/>
      <c r="J142" s="1095" t="s">
        <v>652</v>
      </c>
      <c r="K142" s="1095"/>
    </row>
    <row r="143" spans="2:11" ht="15.75" customHeight="1" thickBot="1" x14ac:dyDescent="0.25">
      <c r="B143" s="1101" t="s">
        <v>1436</v>
      </c>
      <c r="C143" s="1101"/>
      <c r="D143" s="1102">
        <v>1</v>
      </c>
      <c r="E143" s="1102"/>
      <c r="F143" s="1095" t="s">
        <v>1155</v>
      </c>
      <c r="G143" s="1095"/>
      <c r="H143" s="1095" t="s">
        <v>1442</v>
      </c>
      <c r="I143" s="1095"/>
      <c r="J143" s="1095" t="s">
        <v>652</v>
      </c>
      <c r="K143" s="1095"/>
    </row>
    <row r="144" spans="2:11" ht="15.75" customHeight="1" thickBot="1" x14ac:dyDescent="0.25">
      <c r="B144" s="1101" t="s">
        <v>1437</v>
      </c>
      <c r="C144" s="1101"/>
      <c r="D144" s="1102">
        <v>1</v>
      </c>
      <c r="E144" s="1102"/>
      <c r="F144" s="1095" t="s">
        <v>1155</v>
      </c>
      <c r="G144" s="1095"/>
      <c r="H144" s="1095" t="s">
        <v>1442</v>
      </c>
      <c r="I144" s="1095"/>
      <c r="J144" s="1095" t="s">
        <v>652</v>
      </c>
      <c r="K144" s="1095"/>
    </row>
    <row r="145" spans="2:11" ht="15.75" customHeight="1" thickBot="1" x14ac:dyDescent="0.25">
      <c r="B145" s="1101" t="s">
        <v>1438</v>
      </c>
      <c r="C145" s="1101"/>
      <c r="D145" s="1102">
        <v>1</v>
      </c>
      <c r="E145" s="1102"/>
      <c r="F145" s="1095" t="s">
        <v>1155</v>
      </c>
      <c r="G145" s="1095"/>
      <c r="H145" s="1095" t="s">
        <v>1442</v>
      </c>
      <c r="I145" s="1095"/>
      <c r="J145" s="1095" t="s">
        <v>652</v>
      </c>
      <c r="K145" s="1095"/>
    </row>
    <row r="146" spans="2:11" ht="15.75" customHeight="1" thickBot="1" x14ac:dyDescent="0.25">
      <c r="B146" s="1101" t="s">
        <v>1439</v>
      </c>
      <c r="C146" s="1101"/>
      <c r="D146" s="1102">
        <v>1</v>
      </c>
      <c r="E146" s="1102"/>
      <c r="F146" s="1095" t="s">
        <v>1155</v>
      </c>
      <c r="G146" s="1095"/>
      <c r="H146" s="1095" t="s">
        <v>1442</v>
      </c>
      <c r="I146" s="1095"/>
      <c r="J146" s="1095" t="s">
        <v>652</v>
      </c>
      <c r="K146" s="1095"/>
    </row>
    <row r="147" spans="2:11" ht="15.75" customHeight="1" thickBot="1" x14ac:dyDescent="0.25">
      <c r="B147" s="1101" t="s">
        <v>1440</v>
      </c>
      <c r="C147" s="1101"/>
      <c r="D147" s="1102">
        <v>1</v>
      </c>
      <c r="E147" s="1102"/>
      <c r="F147" s="1095" t="s">
        <v>1155</v>
      </c>
      <c r="G147" s="1095"/>
      <c r="H147" s="1095" t="s">
        <v>1442</v>
      </c>
      <c r="I147" s="1095"/>
      <c r="J147" s="1095" t="s">
        <v>652</v>
      </c>
      <c r="K147" s="1095"/>
    </row>
    <row r="148" spans="2:11" ht="15.75" customHeight="1" thickBot="1" x14ac:dyDescent="0.25">
      <c r="B148" s="1101" t="s">
        <v>1441</v>
      </c>
      <c r="C148" s="1101"/>
      <c r="D148" s="1102">
        <v>1</v>
      </c>
      <c r="E148" s="1102"/>
      <c r="F148" s="1095" t="s">
        <v>1155</v>
      </c>
      <c r="G148" s="1095"/>
      <c r="H148" s="1095" t="s">
        <v>1442</v>
      </c>
      <c r="I148" s="1095"/>
      <c r="J148" s="1095" t="s">
        <v>652</v>
      </c>
      <c r="K148" s="1095"/>
    </row>
    <row r="149" spans="2:11" ht="15.75" customHeight="1" thickBot="1" x14ac:dyDescent="0.25">
      <c r="B149" s="1101" t="s">
        <v>1435</v>
      </c>
      <c r="C149" s="1101"/>
      <c r="D149" s="1102">
        <v>1</v>
      </c>
      <c r="E149" s="1102"/>
      <c r="F149" s="1095" t="s">
        <v>1155</v>
      </c>
      <c r="G149" s="1095"/>
      <c r="H149" s="1095" t="s">
        <v>1442</v>
      </c>
      <c r="I149" s="1095"/>
      <c r="J149" s="1095" t="s">
        <v>652</v>
      </c>
      <c r="K149" s="1095"/>
    </row>
    <row r="150" spans="2:11" ht="15.75" customHeight="1" thickBot="1" x14ac:dyDescent="0.25">
      <c r="B150" s="1101" t="s">
        <v>1436</v>
      </c>
      <c r="C150" s="1101"/>
      <c r="D150" s="1102">
        <v>1</v>
      </c>
      <c r="E150" s="1102"/>
      <c r="F150" s="1095" t="s">
        <v>1155</v>
      </c>
      <c r="G150" s="1095"/>
      <c r="H150" s="1095" t="s">
        <v>1442</v>
      </c>
      <c r="I150" s="1095"/>
      <c r="J150" s="1095" t="s">
        <v>652</v>
      </c>
      <c r="K150" s="1095"/>
    </row>
    <row r="151" spans="2:11" ht="15.75" customHeight="1" thickBot="1" x14ac:dyDescent="0.25">
      <c r="B151" s="1101" t="s">
        <v>1437</v>
      </c>
      <c r="C151" s="1101"/>
      <c r="D151" s="1102">
        <v>1</v>
      </c>
      <c r="E151" s="1102"/>
      <c r="F151" s="1095" t="s">
        <v>1155</v>
      </c>
      <c r="G151" s="1095"/>
      <c r="H151" s="1095" t="s">
        <v>1442</v>
      </c>
      <c r="I151" s="1095"/>
      <c r="J151" s="1095" t="s">
        <v>652</v>
      </c>
      <c r="K151" s="1095"/>
    </row>
    <row r="152" spans="2:11" ht="16" thickBot="1" x14ac:dyDescent="0.25">
      <c r="B152" s="1101" t="s">
        <v>1438</v>
      </c>
      <c r="C152" s="1101"/>
      <c r="D152" s="1102">
        <v>1</v>
      </c>
      <c r="E152" s="1102"/>
      <c r="F152" s="1095" t="s">
        <v>1155</v>
      </c>
      <c r="G152" s="1095"/>
      <c r="H152" s="1095" t="s">
        <v>1442</v>
      </c>
      <c r="I152" s="1095"/>
      <c r="J152" s="1095" t="s">
        <v>652</v>
      </c>
      <c r="K152" s="1095"/>
    </row>
    <row r="153" spans="2:11" ht="15.75" customHeight="1" thickBot="1" x14ac:dyDescent="0.25">
      <c r="B153" s="1101" t="s">
        <v>1439</v>
      </c>
      <c r="C153" s="1101"/>
      <c r="D153" s="1102">
        <v>1</v>
      </c>
      <c r="E153" s="1102"/>
      <c r="F153" s="1095" t="s">
        <v>1155</v>
      </c>
      <c r="G153" s="1095"/>
      <c r="H153" s="1095" t="s">
        <v>1442</v>
      </c>
      <c r="I153" s="1095"/>
      <c r="J153" s="1095" t="s">
        <v>652</v>
      </c>
      <c r="K153" s="1095"/>
    </row>
    <row r="154" spans="2:11" ht="15.75" customHeight="1" thickBot="1" x14ac:dyDescent="0.25">
      <c r="B154" s="1101" t="s">
        <v>1440</v>
      </c>
      <c r="C154" s="1101"/>
      <c r="D154" s="1102">
        <v>5</v>
      </c>
      <c r="E154" s="1102"/>
      <c r="F154" s="1095" t="s">
        <v>1155</v>
      </c>
      <c r="G154" s="1095"/>
      <c r="H154" s="1095" t="s">
        <v>1442</v>
      </c>
      <c r="I154" s="1095"/>
      <c r="J154" s="1095" t="s">
        <v>652</v>
      </c>
      <c r="K154" s="1095"/>
    </row>
    <row r="155" spans="2:11" ht="15.75" customHeight="1" thickBot="1" x14ac:dyDescent="0.25">
      <c r="B155" s="1101" t="s">
        <v>1441</v>
      </c>
      <c r="C155" s="1101"/>
      <c r="D155" s="1102">
        <v>2</v>
      </c>
      <c r="E155" s="1102"/>
      <c r="F155" s="1095" t="s">
        <v>1155</v>
      </c>
      <c r="G155" s="1095"/>
      <c r="H155" s="1095" t="s">
        <v>1442</v>
      </c>
      <c r="I155" s="1095"/>
      <c r="J155" s="1095" t="s">
        <v>652</v>
      </c>
      <c r="K155" s="1095"/>
    </row>
    <row r="156" spans="2:11" ht="15.75" customHeight="1" thickBot="1" x14ac:dyDescent="0.25">
      <c r="B156" s="1101" t="s">
        <v>1435</v>
      </c>
      <c r="C156" s="1101"/>
      <c r="D156" s="1102">
        <v>2</v>
      </c>
      <c r="E156" s="1102"/>
      <c r="F156" s="1095" t="s">
        <v>1155</v>
      </c>
      <c r="G156" s="1095"/>
      <c r="H156" s="1095" t="s">
        <v>1442</v>
      </c>
      <c r="I156" s="1095"/>
      <c r="J156" s="1095" t="s">
        <v>652</v>
      </c>
      <c r="K156" s="1095"/>
    </row>
    <row r="157" spans="2:11" ht="15.75" customHeight="1" thickBot="1" x14ac:dyDescent="0.25">
      <c r="B157" s="1101" t="s">
        <v>1436</v>
      </c>
      <c r="C157" s="1101"/>
      <c r="D157" s="1102">
        <v>1</v>
      </c>
      <c r="E157" s="1102"/>
      <c r="F157" s="1095" t="s">
        <v>1155</v>
      </c>
      <c r="G157" s="1095"/>
      <c r="H157" s="1095" t="s">
        <v>1442</v>
      </c>
      <c r="I157" s="1095"/>
      <c r="J157" s="1095" t="s">
        <v>652</v>
      </c>
      <c r="K157" s="1095"/>
    </row>
    <row r="158" spans="2:11" ht="15.75" customHeight="1" thickBot="1" x14ac:dyDescent="0.25">
      <c r="B158" s="1101" t="s">
        <v>1437</v>
      </c>
      <c r="C158" s="1101"/>
      <c r="D158" s="1102">
        <v>1</v>
      </c>
      <c r="E158" s="1102"/>
      <c r="F158" s="1095" t="s">
        <v>1155</v>
      </c>
      <c r="G158" s="1095"/>
      <c r="H158" s="1095" t="s">
        <v>1442</v>
      </c>
      <c r="I158" s="1095"/>
      <c r="J158" s="1095" t="s">
        <v>652</v>
      </c>
      <c r="K158" s="1095"/>
    </row>
    <row r="159" spans="2:11" ht="15.75" customHeight="1" thickBot="1" x14ac:dyDescent="0.25">
      <c r="B159" s="1101" t="s">
        <v>1438</v>
      </c>
      <c r="C159" s="1101"/>
      <c r="D159" s="1102">
        <v>1</v>
      </c>
      <c r="E159" s="1102"/>
      <c r="F159" s="1095" t="s">
        <v>1155</v>
      </c>
      <c r="G159" s="1095"/>
      <c r="H159" s="1095" t="s">
        <v>1442</v>
      </c>
      <c r="I159" s="1095"/>
      <c r="J159" s="1095" t="s">
        <v>652</v>
      </c>
      <c r="K159" s="1095"/>
    </row>
    <row r="160" spans="2:11" ht="15.75" customHeight="1" thickBot="1" x14ac:dyDescent="0.25">
      <c r="B160" s="1101" t="s">
        <v>1439</v>
      </c>
      <c r="C160" s="1101"/>
      <c r="D160" s="1102">
        <v>2</v>
      </c>
      <c r="E160" s="1102"/>
      <c r="F160" s="1095" t="s">
        <v>1155</v>
      </c>
      <c r="G160" s="1095"/>
      <c r="H160" s="1095" t="s">
        <v>1442</v>
      </c>
      <c r="I160" s="1095"/>
      <c r="J160" s="1095" t="s">
        <v>652</v>
      </c>
      <c r="K160" s="1095"/>
    </row>
    <row r="161" spans="2:11" ht="16" thickBot="1" x14ac:dyDescent="0.25">
      <c r="B161" s="1101" t="s">
        <v>1440</v>
      </c>
      <c r="C161" s="1101"/>
      <c r="D161" s="1102">
        <v>2</v>
      </c>
      <c r="E161" s="1102"/>
      <c r="F161" s="1095" t="s">
        <v>1155</v>
      </c>
      <c r="G161" s="1095"/>
      <c r="H161" s="1095" t="s">
        <v>1442</v>
      </c>
      <c r="I161" s="1095"/>
      <c r="J161" s="1095" t="s">
        <v>652</v>
      </c>
      <c r="K161" s="1095"/>
    </row>
    <row r="162" spans="2:11" ht="15.75" customHeight="1" thickBot="1" x14ac:dyDescent="0.25">
      <c r="B162" s="1101" t="s">
        <v>1441</v>
      </c>
      <c r="C162" s="1101"/>
      <c r="D162" s="1102">
        <v>2</v>
      </c>
      <c r="E162" s="1102"/>
      <c r="F162" s="1095" t="s">
        <v>1155</v>
      </c>
      <c r="G162" s="1095"/>
      <c r="H162" s="1095" t="s">
        <v>1442</v>
      </c>
      <c r="I162" s="1095"/>
      <c r="J162" s="1095" t="s">
        <v>652</v>
      </c>
      <c r="K162" s="1095"/>
    </row>
    <row r="163" spans="2:11" ht="15.75" customHeight="1" thickBot="1" x14ac:dyDescent="0.25">
      <c r="B163" s="1101" t="s">
        <v>1435</v>
      </c>
      <c r="C163" s="1101"/>
      <c r="D163" s="1102">
        <v>1</v>
      </c>
      <c r="E163" s="1102"/>
      <c r="F163" s="1095" t="s">
        <v>1155</v>
      </c>
      <c r="G163" s="1095"/>
      <c r="H163" s="1095" t="s">
        <v>1442</v>
      </c>
      <c r="I163" s="1095"/>
      <c r="J163" s="1095" t="s">
        <v>652</v>
      </c>
      <c r="K163" s="1095"/>
    </row>
    <row r="164" spans="2:11" ht="15.75" customHeight="1" thickBot="1" x14ac:dyDescent="0.25">
      <c r="B164" s="1101" t="s">
        <v>1436</v>
      </c>
      <c r="C164" s="1101"/>
      <c r="D164" s="1102">
        <v>1</v>
      </c>
      <c r="E164" s="1102"/>
      <c r="F164" s="1095" t="s">
        <v>1155</v>
      </c>
      <c r="G164" s="1095"/>
      <c r="H164" s="1095" t="s">
        <v>1442</v>
      </c>
      <c r="I164" s="1095"/>
      <c r="J164" s="1095" t="s">
        <v>652</v>
      </c>
      <c r="K164" s="1095"/>
    </row>
    <row r="165" spans="2:11" ht="15.75" customHeight="1" thickBot="1" x14ac:dyDescent="0.25">
      <c r="B165" s="1101" t="s">
        <v>1437</v>
      </c>
      <c r="C165" s="1101"/>
      <c r="D165" s="1102">
        <v>1</v>
      </c>
      <c r="E165" s="1102"/>
      <c r="F165" s="1095" t="s">
        <v>1155</v>
      </c>
      <c r="G165" s="1095"/>
      <c r="H165" s="1095" t="s">
        <v>1442</v>
      </c>
      <c r="I165" s="1095"/>
      <c r="J165" s="1095" t="s">
        <v>652</v>
      </c>
      <c r="K165" s="1095"/>
    </row>
    <row r="166" spans="2:11" ht="15.75" customHeight="1" thickBot="1" x14ac:dyDescent="0.25">
      <c r="B166" s="1101" t="s">
        <v>1438</v>
      </c>
      <c r="C166" s="1101"/>
      <c r="D166" s="1102">
        <v>1</v>
      </c>
      <c r="E166" s="1102"/>
      <c r="F166" s="1095" t="s">
        <v>1155</v>
      </c>
      <c r="G166" s="1095"/>
      <c r="H166" s="1095" t="s">
        <v>1442</v>
      </c>
      <c r="I166" s="1095"/>
      <c r="J166" s="1095" t="s">
        <v>652</v>
      </c>
      <c r="K166" s="1095"/>
    </row>
    <row r="167" spans="2:11" ht="15.75" customHeight="1" thickBot="1" x14ac:dyDescent="0.25">
      <c r="B167" s="1101" t="s">
        <v>1439</v>
      </c>
      <c r="C167" s="1101"/>
      <c r="D167" s="1102">
        <v>1</v>
      </c>
      <c r="E167" s="1102"/>
      <c r="F167" s="1095" t="s">
        <v>1155</v>
      </c>
      <c r="G167" s="1095"/>
      <c r="H167" s="1095" t="s">
        <v>1442</v>
      </c>
      <c r="I167" s="1095"/>
      <c r="J167" s="1095" t="s">
        <v>652</v>
      </c>
      <c r="K167" s="1095"/>
    </row>
    <row r="168" spans="2:11" ht="15.75" customHeight="1" thickBot="1" x14ac:dyDescent="0.25">
      <c r="B168" s="1101" t="s">
        <v>1440</v>
      </c>
      <c r="C168" s="1101"/>
      <c r="D168" s="1102">
        <v>1</v>
      </c>
      <c r="E168" s="1102"/>
      <c r="F168" s="1095" t="s">
        <v>1155</v>
      </c>
      <c r="G168" s="1095"/>
      <c r="H168" s="1095" t="s">
        <v>1442</v>
      </c>
      <c r="I168" s="1095"/>
      <c r="J168" s="1095" t="s">
        <v>652</v>
      </c>
      <c r="K168" s="1095"/>
    </row>
    <row r="169" spans="2:11" ht="15.75" customHeight="1" thickBot="1" x14ac:dyDescent="0.25">
      <c r="B169" s="1101" t="s">
        <v>1441</v>
      </c>
      <c r="C169" s="1101"/>
      <c r="D169" s="1102">
        <v>1</v>
      </c>
      <c r="E169" s="1102"/>
      <c r="F169" s="1095" t="s">
        <v>1155</v>
      </c>
      <c r="G169" s="1095"/>
      <c r="H169" s="1095" t="s">
        <v>1442</v>
      </c>
      <c r="I169" s="1095"/>
      <c r="J169" s="1095" t="s">
        <v>652</v>
      </c>
      <c r="K169" s="1095"/>
    </row>
    <row r="170" spans="2:11" ht="15.75" customHeight="1" thickBot="1" x14ac:dyDescent="0.25">
      <c r="B170" s="1101" t="s">
        <v>1435</v>
      </c>
      <c r="C170" s="1101"/>
      <c r="D170" s="1102">
        <v>1</v>
      </c>
      <c r="E170" s="1102"/>
      <c r="F170" s="1095" t="s">
        <v>1155</v>
      </c>
      <c r="G170" s="1095"/>
      <c r="H170" s="1095" t="s">
        <v>1442</v>
      </c>
      <c r="I170" s="1095"/>
      <c r="J170" s="1095" t="s">
        <v>652</v>
      </c>
      <c r="K170" s="1095"/>
    </row>
    <row r="171" spans="2:11" ht="15.75" customHeight="1" thickBot="1" x14ac:dyDescent="0.25">
      <c r="B171" s="1101" t="s">
        <v>1436</v>
      </c>
      <c r="C171" s="1101"/>
      <c r="D171" s="1102">
        <v>1</v>
      </c>
      <c r="E171" s="1102"/>
      <c r="F171" s="1095" t="s">
        <v>1155</v>
      </c>
      <c r="G171" s="1095"/>
      <c r="H171" s="1095" t="s">
        <v>1442</v>
      </c>
      <c r="I171" s="1095"/>
      <c r="J171" s="1095" t="s">
        <v>652</v>
      </c>
      <c r="K171" s="1095"/>
    </row>
    <row r="172" spans="2:11" ht="15.75" customHeight="1" thickBot="1" x14ac:dyDescent="0.25">
      <c r="B172" s="1101" t="s">
        <v>1437</v>
      </c>
      <c r="C172" s="1101"/>
      <c r="D172" s="1102">
        <v>1</v>
      </c>
      <c r="E172" s="1102"/>
      <c r="F172" s="1095" t="s">
        <v>1155</v>
      </c>
      <c r="G172" s="1095"/>
      <c r="H172" s="1095" t="s">
        <v>1442</v>
      </c>
      <c r="I172" s="1095"/>
      <c r="J172" s="1095" t="s">
        <v>652</v>
      </c>
      <c r="K172" s="1095"/>
    </row>
    <row r="173" spans="2:11" ht="15.75" customHeight="1" thickBot="1" x14ac:dyDescent="0.25">
      <c r="B173" s="1101" t="s">
        <v>1438</v>
      </c>
      <c r="C173" s="1101"/>
      <c r="D173" s="1102">
        <v>1</v>
      </c>
      <c r="E173" s="1102"/>
      <c r="F173" s="1095" t="s">
        <v>1155</v>
      </c>
      <c r="G173" s="1095"/>
      <c r="H173" s="1095" t="s">
        <v>1442</v>
      </c>
      <c r="I173" s="1095"/>
      <c r="J173" s="1095" t="s">
        <v>652</v>
      </c>
      <c r="K173" s="1095"/>
    </row>
    <row r="174" spans="2:11" ht="15.75" customHeight="1" thickBot="1" x14ac:dyDescent="0.25">
      <c r="B174" s="1101" t="s">
        <v>1439</v>
      </c>
      <c r="C174" s="1101"/>
      <c r="D174" s="1102">
        <v>1</v>
      </c>
      <c r="E174" s="1102"/>
      <c r="F174" s="1095" t="s">
        <v>1155</v>
      </c>
      <c r="G174" s="1095"/>
      <c r="H174" s="1095" t="s">
        <v>1442</v>
      </c>
      <c r="I174" s="1095"/>
      <c r="J174" s="1095" t="s">
        <v>652</v>
      </c>
      <c r="K174" s="1095"/>
    </row>
    <row r="175" spans="2:11" ht="15.75" customHeight="1" thickBot="1" x14ac:dyDescent="0.25">
      <c r="B175" s="1101" t="s">
        <v>1440</v>
      </c>
      <c r="C175" s="1101"/>
      <c r="D175" s="1102">
        <v>1</v>
      </c>
      <c r="E175" s="1102"/>
      <c r="F175" s="1095" t="s">
        <v>1155</v>
      </c>
      <c r="G175" s="1095"/>
      <c r="H175" s="1095" t="s">
        <v>1442</v>
      </c>
      <c r="I175" s="1095"/>
      <c r="J175" s="1095" t="s">
        <v>652</v>
      </c>
      <c r="K175" s="1095"/>
    </row>
    <row r="176" spans="2:11" ht="15.75" customHeight="1" thickBot="1" x14ac:dyDescent="0.25">
      <c r="B176" s="1101" t="s">
        <v>1441</v>
      </c>
      <c r="C176" s="1101"/>
      <c r="D176" s="1102">
        <v>1</v>
      </c>
      <c r="E176" s="1102"/>
      <c r="F176" s="1095" t="s">
        <v>1155</v>
      </c>
      <c r="G176" s="1095"/>
      <c r="H176" s="1095" t="s">
        <v>1442</v>
      </c>
      <c r="I176" s="1095"/>
      <c r="J176" s="1095" t="s">
        <v>652</v>
      </c>
      <c r="K176" s="1095"/>
    </row>
    <row r="177" spans="2:11" ht="15.75" customHeight="1" thickBot="1" x14ac:dyDescent="0.25">
      <c r="B177" s="1101" t="s">
        <v>1435</v>
      </c>
      <c r="C177" s="1101"/>
      <c r="D177" s="1102">
        <v>1</v>
      </c>
      <c r="E177" s="1102"/>
      <c r="F177" s="1095" t="s">
        <v>1155</v>
      </c>
      <c r="G177" s="1095"/>
      <c r="H177" s="1095" t="s">
        <v>1442</v>
      </c>
      <c r="I177" s="1095"/>
      <c r="J177" s="1095" t="s">
        <v>652</v>
      </c>
      <c r="K177" s="1095"/>
    </row>
    <row r="178" spans="2:11" ht="15.75" customHeight="1" thickBot="1" x14ac:dyDescent="0.25">
      <c r="B178" s="1101" t="s">
        <v>1436</v>
      </c>
      <c r="C178" s="1101"/>
      <c r="D178" s="1102">
        <v>1</v>
      </c>
      <c r="E178" s="1102"/>
      <c r="F178" s="1095" t="s">
        <v>1155</v>
      </c>
      <c r="G178" s="1095"/>
      <c r="H178" s="1095" t="s">
        <v>1442</v>
      </c>
      <c r="I178" s="1095"/>
      <c r="J178" s="1095" t="s">
        <v>652</v>
      </c>
      <c r="K178" s="1095"/>
    </row>
    <row r="179" spans="2:11" ht="15.75" customHeight="1" thickBot="1" x14ac:dyDescent="0.25">
      <c r="B179" s="1101" t="s">
        <v>1437</v>
      </c>
      <c r="C179" s="1101"/>
      <c r="D179" s="1102">
        <v>1</v>
      </c>
      <c r="E179" s="1102"/>
      <c r="F179" s="1095" t="s">
        <v>1155</v>
      </c>
      <c r="G179" s="1095"/>
      <c r="H179" s="1095" t="s">
        <v>1442</v>
      </c>
      <c r="I179" s="1095"/>
      <c r="J179" s="1095" t="s">
        <v>652</v>
      </c>
      <c r="K179" s="1095"/>
    </row>
    <row r="180" spans="2:11" ht="15.75" customHeight="1" thickBot="1" x14ac:dyDescent="0.25">
      <c r="B180" s="1101" t="s">
        <v>1438</v>
      </c>
      <c r="C180" s="1101"/>
      <c r="D180" s="1102">
        <v>1</v>
      </c>
      <c r="E180" s="1102"/>
      <c r="F180" s="1095" t="s">
        <v>1155</v>
      </c>
      <c r="G180" s="1095"/>
      <c r="H180" s="1095" t="s">
        <v>1442</v>
      </c>
      <c r="I180" s="1095"/>
      <c r="J180" s="1095" t="s">
        <v>652</v>
      </c>
      <c r="K180" s="1095"/>
    </row>
    <row r="181" spans="2:11" ht="15.75" customHeight="1" thickBot="1" x14ac:dyDescent="0.25">
      <c r="B181" s="1101" t="s">
        <v>1439</v>
      </c>
      <c r="C181" s="1101"/>
      <c r="D181" s="1102">
        <v>1</v>
      </c>
      <c r="E181" s="1102"/>
      <c r="F181" s="1095" t="s">
        <v>1155</v>
      </c>
      <c r="G181" s="1095"/>
      <c r="H181" s="1095" t="s">
        <v>1442</v>
      </c>
      <c r="I181" s="1095"/>
      <c r="J181" s="1095" t="s">
        <v>652</v>
      </c>
      <c r="K181" s="1095"/>
    </row>
    <row r="182" spans="2:11" ht="15.75" customHeight="1" thickBot="1" x14ac:dyDescent="0.25">
      <c r="B182" s="1101" t="s">
        <v>1440</v>
      </c>
      <c r="C182" s="1101"/>
      <c r="D182" s="1102">
        <v>1</v>
      </c>
      <c r="E182" s="1102"/>
      <c r="F182" s="1095" t="s">
        <v>1155</v>
      </c>
      <c r="G182" s="1095"/>
      <c r="H182" s="1095" t="s">
        <v>1442</v>
      </c>
      <c r="I182" s="1095"/>
      <c r="J182" s="1095" t="s">
        <v>652</v>
      </c>
      <c r="K182" s="1095"/>
    </row>
    <row r="183" spans="2:11" ht="15.75" customHeight="1" thickBot="1" x14ac:dyDescent="0.25">
      <c r="B183" s="1101" t="s">
        <v>1441</v>
      </c>
      <c r="C183" s="1101"/>
      <c r="D183" s="1102">
        <v>1</v>
      </c>
      <c r="E183" s="1102"/>
      <c r="F183" s="1095" t="s">
        <v>1155</v>
      </c>
      <c r="G183" s="1095"/>
      <c r="H183" s="1095" t="s">
        <v>1442</v>
      </c>
      <c r="I183" s="1095"/>
      <c r="J183" s="1095" t="s">
        <v>652</v>
      </c>
      <c r="K183" s="1095"/>
    </row>
    <row r="184" spans="2:11" ht="15.75" customHeight="1" thickBot="1" x14ac:dyDescent="0.25">
      <c r="B184" s="1101" t="s">
        <v>1435</v>
      </c>
      <c r="C184" s="1101"/>
      <c r="D184" s="1102">
        <v>1</v>
      </c>
      <c r="E184" s="1102"/>
      <c r="F184" s="1095" t="s">
        <v>1155</v>
      </c>
      <c r="G184" s="1095"/>
      <c r="H184" s="1095" t="s">
        <v>1442</v>
      </c>
      <c r="I184" s="1095"/>
      <c r="J184" s="1095" t="s">
        <v>652</v>
      </c>
      <c r="K184" s="1095"/>
    </row>
    <row r="185" spans="2:11" ht="15.75" customHeight="1" thickBot="1" x14ac:dyDescent="0.25">
      <c r="B185" s="1101" t="s">
        <v>1436</v>
      </c>
      <c r="C185" s="1101"/>
      <c r="D185" s="1102">
        <v>3</v>
      </c>
      <c r="E185" s="1102"/>
      <c r="F185" s="1095" t="s">
        <v>1155</v>
      </c>
      <c r="G185" s="1095"/>
      <c r="H185" s="1095" t="s">
        <v>1442</v>
      </c>
      <c r="I185" s="1095"/>
      <c r="J185" s="1095" t="s">
        <v>652</v>
      </c>
      <c r="K185" s="1095"/>
    </row>
    <row r="186" spans="2:11" ht="15.75" customHeight="1" thickBot="1" x14ac:dyDescent="0.25">
      <c r="B186" s="1101" t="s">
        <v>1437</v>
      </c>
      <c r="C186" s="1101"/>
      <c r="D186" s="1102">
        <v>1</v>
      </c>
      <c r="E186" s="1102"/>
      <c r="F186" s="1095" t="s">
        <v>1155</v>
      </c>
      <c r="G186" s="1095"/>
      <c r="H186" s="1095" t="s">
        <v>1442</v>
      </c>
      <c r="I186" s="1095"/>
      <c r="J186" s="1095" t="s">
        <v>652</v>
      </c>
      <c r="K186" s="1095"/>
    </row>
    <row r="187" spans="2:11" ht="15.75" customHeight="1" thickBot="1" x14ac:dyDescent="0.25">
      <c r="B187" s="1101" t="s">
        <v>1438</v>
      </c>
      <c r="C187" s="1101"/>
      <c r="D187" s="1102">
        <v>2</v>
      </c>
      <c r="E187" s="1102"/>
      <c r="F187" s="1095" t="s">
        <v>1155</v>
      </c>
      <c r="G187" s="1095"/>
      <c r="H187" s="1095" t="s">
        <v>1442</v>
      </c>
      <c r="I187" s="1095"/>
      <c r="J187" s="1095" t="s">
        <v>652</v>
      </c>
      <c r="K187" s="1095"/>
    </row>
    <row r="188" spans="2:11" ht="15.75" customHeight="1" thickBot="1" x14ac:dyDescent="0.25">
      <c r="B188" s="1101" t="s">
        <v>1439</v>
      </c>
      <c r="C188" s="1101"/>
      <c r="D188" s="1102">
        <v>1</v>
      </c>
      <c r="E188" s="1102"/>
      <c r="F188" s="1095" t="s">
        <v>1155</v>
      </c>
      <c r="G188" s="1095"/>
      <c r="H188" s="1095" t="s">
        <v>1442</v>
      </c>
      <c r="I188" s="1095"/>
      <c r="J188" s="1095" t="s">
        <v>652</v>
      </c>
      <c r="K188" s="1095"/>
    </row>
    <row r="189" spans="2:11" ht="15.75" customHeight="1" thickBot="1" x14ac:dyDescent="0.25">
      <c r="B189" s="1101" t="s">
        <v>1440</v>
      </c>
      <c r="C189" s="1101"/>
      <c r="D189" s="1102">
        <v>1</v>
      </c>
      <c r="E189" s="1102"/>
      <c r="F189" s="1095" t="s">
        <v>1155</v>
      </c>
      <c r="G189" s="1095"/>
      <c r="H189" s="1095" t="s">
        <v>1442</v>
      </c>
      <c r="I189" s="1095"/>
      <c r="J189" s="1095" t="s">
        <v>652</v>
      </c>
      <c r="K189" s="1095"/>
    </row>
    <row r="190" spans="2:11" ht="15.75" customHeight="1" thickBot="1" x14ac:dyDescent="0.25">
      <c r="B190" s="1101" t="s">
        <v>1441</v>
      </c>
      <c r="C190" s="1101"/>
      <c r="D190" s="1102">
        <v>1</v>
      </c>
      <c r="E190" s="1102"/>
      <c r="F190" s="1095" t="s">
        <v>1155</v>
      </c>
      <c r="G190" s="1095"/>
      <c r="H190" s="1095" t="s">
        <v>1442</v>
      </c>
      <c r="I190" s="1095"/>
      <c r="J190" s="1095" t="s">
        <v>652</v>
      </c>
      <c r="K190" s="1095"/>
    </row>
    <row r="191" spans="2:11" ht="15.75" customHeight="1" thickBot="1" x14ac:dyDescent="0.25">
      <c r="B191" s="1101" t="s">
        <v>1435</v>
      </c>
      <c r="C191" s="1101"/>
      <c r="D191" s="1102">
        <v>1</v>
      </c>
      <c r="E191" s="1102"/>
      <c r="F191" s="1095" t="s">
        <v>1155</v>
      </c>
      <c r="G191" s="1095"/>
      <c r="H191" s="1095" t="s">
        <v>1442</v>
      </c>
      <c r="I191" s="1095"/>
      <c r="J191" s="1095" t="s">
        <v>652</v>
      </c>
      <c r="K191" s="1095"/>
    </row>
    <row r="192" spans="2:11" ht="15.75" customHeight="1" thickBot="1" x14ac:dyDescent="0.25">
      <c r="B192" s="1101" t="s">
        <v>1436</v>
      </c>
      <c r="C192" s="1101"/>
      <c r="D192" s="1102">
        <v>1</v>
      </c>
      <c r="E192" s="1102"/>
      <c r="F192" s="1095" t="s">
        <v>1155</v>
      </c>
      <c r="G192" s="1095"/>
      <c r="H192" s="1095" t="s">
        <v>1442</v>
      </c>
      <c r="I192" s="1095"/>
      <c r="J192" s="1095" t="s">
        <v>652</v>
      </c>
      <c r="K192" s="1095"/>
    </row>
    <row r="193" spans="2:18" ht="15.75" customHeight="1" thickBot="1" x14ac:dyDescent="0.25">
      <c r="B193" s="1101" t="s">
        <v>1437</v>
      </c>
      <c r="C193" s="1101"/>
      <c r="D193" s="1102">
        <v>2</v>
      </c>
      <c r="E193" s="1102"/>
      <c r="F193" s="1095" t="s">
        <v>1155</v>
      </c>
      <c r="G193" s="1095"/>
      <c r="H193" s="1095" t="s">
        <v>1442</v>
      </c>
      <c r="I193" s="1095"/>
      <c r="J193" s="1095" t="s">
        <v>652</v>
      </c>
      <c r="K193" s="1095"/>
    </row>
    <row r="194" spans="2:18" ht="15.75" customHeight="1" thickBot="1" x14ac:dyDescent="0.25">
      <c r="B194" s="1101" t="s">
        <v>1438</v>
      </c>
      <c r="C194" s="1101"/>
      <c r="D194" s="1102">
        <v>1</v>
      </c>
      <c r="E194" s="1102"/>
      <c r="F194" s="1095" t="s">
        <v>1155</v>
      </c>
      <c r="G194" s="1095"/>
      <c r="H194" s="1095" t="s">
        <v>1442</v>
      </c>
      <c r="I194" s="1095"/>
      <c r="J194" s="1095" t="s">
        <v>652</v>
      </c>
      <c r="K194" s="1095"/>
    </row>
    <row r="195" spans="2:18" ht="15.75" customHeight="1" thickBot="1" x14ac:dyDescent="0.25">
      <c r="B195" s="1101" t="s">
        <v>1439</v>
      </c>
      <c r="C195" s="1101"/>
      <c r="D195" s="1102">
        <v>1</v>
      </c>
      <c r="E195" s="1102"/>
      <c r="F195" s="1095" t="s">
        <v>1155</v>
      </c>
      <c r="G195" s="1095"/>
      <c r="H195" s="1095" t="s">
        <v>1442</v>
      </c>
      <c r="I195" s="1095"/>
      <c r="J195" s="1095" t="s">
        <v>652</v>
      </c>
      <c r="K195" s="1095"/>
    </row>
    <row r="196" spans="2:18" ht="15.75" customHeight="1" thickBot="1" x14ac:dyDescent="0.25">
      <c r="B196" s="1101" t="s">
        <v>1440</v>
      </c>
      <c r="C196" s="1101"/>
      <c r="D196" s="1102">
        <v>2</v>
      </c>
      <c r="E196" s="1102"/>
      <c r="F196" s="1095" t="s">
        <v>1155</v>
      </c>
      <c r="G196" s="1095"/>
      <c r="H196" s="1095" t="s">
        <v>1442</v>
      </c>
      <c r="I196" s="1095"/>
      <c r="J196" s="1095" t="s">
        <v>652</v>
      </c>
      <c r="K196" s="1095"/>
    </row>
    <row r="197" spans="2:18" ht="16" thickBot="1" x14ac:dyDescent="0.25">
      <c r="B197" s="1105" t="s">
        <v>78</v>
      </c>
      <c r="C197" s="1105"/>
      <c r="D197" s="1105">
        <f>SUM(D35:D196)</f>
        <v>449</v>
      </c>
      <c r="E197" s="1105"/>
      <c r="F197" s="1105"/>
      <c r="G197" s="1105"/>
      <c r="H197" s="1105"/>
      <c r="I197" s="1105"/>
    </row>
    <row r="198" spans="2:18" x14ac:dyDescent="0.2">
      <c r="B198" s="33"/>
      <c r="Q198" s="59"/>
      <c r="R198" s="59"/>
    </row>
    <row r="199" spans="2:18" x14ac:dyDescent="0.2">
      <c r="B199" s="33"/>
      <c r="Q199" s="59"/>
      <c r="R199" s="59"/>
    </row>
    <row r="200" spans="2:18" x14ac:dyDescent="0.2">
      <c r="B200" s="1108" t="s">
        <v>931</v>
      </c>
      <c r="C200" s="1108"/>
      <c r="D200" s="1108"/>
      <c r="E200" s="1108"/>
      <c r="F200" s="1108"/>
      <c r="G200" s="1108"/>
      <c r="H200" s="1108"/>
      <c r="I200" s="1108"/>
      <c r="M200" s="56"/>
      <c r="Q200" s="59"/>
      <c r="R200" s="59"/>
    </row>
    <row r="201" spans="2:18" ht="15" customHeight="1" thickBot="1" x14ac:dyDescent="0.25">
      <c r="B201" s="741" t="s">
        <v>536</v>
      </c>
      <c r="C201" s="741"/>
      <c r="D201" s="741" t="s">
        <v>537</v>
      </c>
      <c r="E201" s="741"/>
      <c r="F201" s="1106" t="s">
        <v>611</v>
      </c>
      <c r="G201" s="1106"/>
      <c r="H201" s="1106" t="s">
        <v>1074</v>
      </c>
      <c r="I201" s="1106"/>
    </row>
    <row r="202" spans="2:18" ht="15.75" customHeight="1" thickBot="1" x14ac:dyDescent="0.25">
      <c r="B202" s="1104" t="s">
        <v>1229</v>
      </c>
      <c r="C202" s="1104"/>
      <c r="D202" s="1158">
        <v>1</v>
      </c>
      <c r="E202" s="1158"/>
      <c r="F202" s="1107" t="s">
        <v>1154</v>
      </c>
      <c r="G202" s="1107"/>
      <c r="H202" s="1107" t="s">
        <v>440</v>
      </c>
      <c r="I202" s="1107"/>
    </row>
    <row r="203" spans="2:18" ht="15.75" customHeight="1" thickBot="1" x14ac:dyDescent="0.25">
      <c r="B203" s="1104" t="s">
        <v>1230</v>
      </c>
      <c r="C203" s="1104"/>
      <c r="D203" s="1158">
        <v>1</v>
      </c>
      <c r="E203" s="1158"/>
      <c r="F203" s="1171" t="s">
        <v>1154</v>
      </c>
      <c r="G203" s="1171"/>
      <c r="H203" s="1171" t="s">
        <v>440</v>
      </c>
      <c r="I203" s="1171"/>
    </row>
    <row r="204" spans="2:18" ht="15.75" customHeight="1" thickBot="1" x14ac:dyDescent="0.25">
      <c r="B204" s="1104" t="s">
        <v>1231</v>
      </c>
      <c r="C204" s="1104"/>
      <c r="D204" s="1158">
        <v>1</v>
      </c>
      <c r="E204" s="1158"/>
      <c r="F204" s="1171" t="s">
        <v>1154</v>
      </c>
      <c r="G204" s="1171"/>
      <c r="H204" s="1171" t="s">
        <v>440</v>
      </c>
      <c r="I204" s="1171"/>
    </row>
    <row r="205" spans="2:18" ht="15.75" customHeight="1" thickBot="1" x14ac:dyDescent="0.25">
      <c r="B205" s="1104" t="s">
        <v>1232</v>
      </c>
      <c r="C205" s="1104"/>
      <c r="D205" s="1158">
        <v>1</v>
      </c>
      <c r="E205" s="1158"/>
      <c r="F205" s="1171" t="s">
        <v>1154</v>
      </c>
      <c r="G205" s="1171"/>
      <c r="H205" s="1171" t="s">
        <v>440</v>
      </c>
      <c r="I205" s="1171"/>
    </row>
    <row r="206" spans="2:18" ht="16" thickBot="1" x14ac:dyDescent="0.25">
      <c r="B206" s="1105" t="s">
        <v>78</v>
      </c>
      <c r="C206" s="1105"/>
      <c r="D206" s="1122">
        <f>SUM(D202:E205)</f>
        <v>4</v>
      </c>
      <c r="E206" s="1105"/>
      <c r="F206" s="1105"/>
      <c r="G206" s="1105"/>
      <c r="H206" s="1105"/>
      <c r="I206" s="1105"/>
    </row>
    <row r="207" spans="2:18" x14ac:dyDescent="0.2">
      <c r="B207" s="899" t="s">
        <v>1483</v>
      </c>
      <c r="C207" s="899"/>
      <c r="Q207" s="59"/>
      <c r="R207" s="59"/>
    </row>
    <row r="208" spans="2:18" x14ac:dyDescent="0.2">
      <c r="B208" s="33" t="s">
        <v>68</v>
      </c>
      <c r="Q208" s="59"/>
      <c r="R208" s="59"/>
    </row>
    <row r="209" spans="2:29" x14ac:dyDescent="0.2">
      <c r="B209" s="33"/>
      <c r="Q209" s="59"/>
      <c r="R209" s="59"/>
    </row>
    <row r="210" spans="2:29" x14ac:dyDescent="0.2">
      <c r="B210" s="61"/>
      <c r="C210" s="61"/>
      <c r="D210" s="61"/>
      <c r="E210" s="61"/>
    </row>
    <row r="211" spans="2:29" x14ac:dyDescent="0.2">
      <c r="B211" s="900" t="s">
        <v>839</v>
      </c>
      <c r="C211" s="900"/>
      <c r="D211" s="900"/>
      <c r="E211" s="900"/>
      <c r="F211" s="900"/>
      <c r="G211" s="900"/>
    </row>
    <row r="212" spans="2:29" ht="15" customHeight="1" x14ac:dyDescent="0.2">
      <c r="B212" s="232"/>
      <c r="D212" s="741" t="s">
        <v>908</v>
      </c>
      <c r="E212" s="741"/>
      <c r="F212" s="741"/>
      <c r="G212" s="741"/>
      <c r="H212" s="741"/>
      <c r="I212" s="741" t="s">
        <v>462</v>
      </c>
      <c r="J212" s="741"/>
      <c r="K212" s="741"/>
      <c r="L212" s="741"/>
      <c r="M212" s="741"/>
      <c r="N212" s="741" t="s">
        <v>1026</v>
      </c>
      <c r="O212" s="741"/>
      <c r="P212" s="741"/>
      <c r="Q212" s="741"/>
      <c r="R212" s="741"/>
    </row>
    <row r="213" spans="2:29" ht="32.25" customHeight="1" x14ac:dyDescent="0.2">
      <c r="B213" s="1012" t="s">
        <v>1031</v>
      </c>
      <c r="C213" s="1012"/>
      <c r="D213" s="504" t="s">
        <v>29</v>
      </c>
      <c r="E213" s="207" t="s">
        <v>28</v>
      </c>
      <c r="F213" s="207" t="s">
        <v>1008</v>
      </c>
      <c r="G213" s="770" t="s">
        <v>1016</v>
      </c>
      <c r="H213" s="770"/>
      <c r="I213" s="504" t="s">
        <v>29</v>
      </c>
      <c r="J213" s="207" t="s">
        <v>28</v>
      </c>
      <c r="K213" s="207" t="s">
        <v>1008</v>
      </c>
      <c r="L213" s="770" t="s">
        <v>1016</v>
      </c>
      <c r="M213" s="770"/>
      <c r="N213" s="504" t="s">
        <v>29</v>
      </c>
      <c r="O213" s="207" t="s">
        <v>28</v>
      </c>
      <c r="P213" s="207" t="s">
        <v>1008</v>
      </c>
      <c r="Q213" s="770" t="s">
        <v>1016</v>
      </c>
      <c r="R213" s="770"/>
    </row>
    <row r="214" spans="2:29" ht="17.25" customHeight="1" x14ac:dyDescent="0.2">
      <c r="B214" s="1009" t="s">
        <v>454</v>
      </c>
      <c r="C214" s="1009"/>
      <c r="D214" s="507">
        <v>1</v>
      </c>
      <c r="E214" s="507">
        <v>0</v>
      </c>
      <c r="F214" s="507"/>
      <c r="G214" s="1009">
        <f>SUM(D214:F214)</f>
        <v>1</v>
      </c>
      <c r="H214" s="1098"/>
      <c r="I214" s="432">
        <v>5</v>
      </c>
      <c r="J214" s="507">
        <v>3</v>
      </c>
      <c r="K214" s="507">
        <v>0</v>
      </c>
      <c r="L214" s="1009">
        <f>SUM(I214:K214)</f>
        <v>8</v>
      </c>
      <c r="M214" s="1009"/>
      <c r="N214" s="432"/>
      <c r="O214" s="507"/>
      <c r="P214" s="507"/>
      <c r="Q214" s="1009">
        <f>SUM(N214:P214)</f>
        <v>0</v>
      </c>
      <c r="R214" s="1009"/>
    </row>
    <row r="215" spans="2:29" ht="30.75" customHeight="1" thickBot="1" x14ac:dyDescent="0.25">
      <c r="B215" s="1011" t="s">
        <v>538</v>
      </c>
      <c r="C215" s="1011"/>
      <c r="D215" s="559">
        <v>9</v>
      </c>
      <c r="E215" s="560" t="s">
        <v>52</v>
      </c>
      <c r="F215" s="560" t="s">
        <v>52</v>
      </c>
      <c r="G215" s="1123">
        <v>9</v>
      </c>
      <c r="H215" s="1124"/>
      <c r="I215" s="540">
        <v>7.8</v>
      </c>
      <c r="J215" s="541">
        <v>8.3333333333333339</v>
      </c>
      <c r="K215" s="630" t="s">
        <v>52</v>
      </c>
      <c r="L215" s="1100">
        <v>8</v>
      </c>
      <c r="M215" s="1100"/>
      <c r="N215" s="561" t="s">
        <v>52</v>
      </c>
      <c r="O215" s="560" t="s">
        <v>52</v>
      </c>
      <c r="P215" s="560" t="s">
        <v>52</v>
      </c>
      <c r="Q215" s="1162" t="s">
        <v>52</v>
      </c>
      <c r="R215" s="1162"/>
      <c r="T215" s="698"/>
      <c r="U215" s="239"/>
      <c r="V215" s="239"/>
      <c r="W215" s="1172"/>
      <c r="X215" s="1172"/>
      <c r="Y215" s="698"/>
      <c r="Z215" s="699"/>
      <c r="AA215" s="239"/>
      <c r="AB215" s="1172"/>
      <c r="AC215" s="1172"/>
    </row>
    <row r="216" spans="2:29" ht="45.75" customHeight="1" thickBot="1" x14ac:dyDescent="0.25">
      <c r="B216" s="1011" t="s">
        <v>539</v>
      </c>
      <c r="C216" s="1011"/>
      <c r="D216" s="559">
        <v>9</v>
      </c>
      <c r="E216" s="560" t="s">
        <v>52</v>
      </c>
      <c r="F216" s="560" t="s">
        <v>52</v>
      </c>
      <c r="G216" s="1125">
        <v>9</v>
      </c>
      <c r="H216" s="1126"/>
      <c r="I216" s="540">
        <v>7.8</v>
      </c>
      <c r="J216" s="541">
        <v>6.333333333333333</v>
      </c>
      <c r="K216" s="630" t="s">
        <v>52</v>
      </c>
      <c r="L216" s="1064">
        <v>7.25</v>
      </c>
      <c r="M216" s="1064"/>
      <c r="N216" s="561" t="s">
        <v>52</v>
      </c>
      <c r="O216" s="560" t="s">
        <v>52</v>
      </c>
      <c r="P216" s="560" t="s">
        <v>52</v>
      </c>
      <c r="Q216" s="1162" t="s">
        <v>52</v>
      </c>
      <c r="R216" s="1162"/>
      <c r="T216" s="698"/>
      <c r="U216" s="239"/>
      <c r="V216" s="239"/>
      <c r="W216" s="1172"/>
      <c r="X216" s="1172"/>
      <c r="Y216" s="698"/>
      <c r="Z216" s="698"/>
      <c r="AA216" s="239"/>
      <c r="AB216" s="1173"/>
      <c r="AC216" s="1173"/>
    </row>
    <row r="217" spans="2:29" ht="47.25" customHeight="1" thickBot="1" x14ac:dyDescent="0.25">
      <c r="B217" s="1011" t="s">
        <v>540</v>
      </c>
      <c r="C217" s="1011"/>
      <c r="D217" s="559">
        <v>10</v>
      </c>
      <c r="E217" s="560" t="s">
        <v>52</v>
      </c>
      <c r="F217" s="560" t="s">
        <v>52</v>
      </c>
      <c r="G217" s="1125">
        <v>10</v>
      </c>
      <c r="H217" s="1126"/>
      <c r="I217" s="540">
        <v>7.4</v>
      </c>
      <c r="J217" s="541">
        <v>7</v>
      </c>
      <c r="K217" s="630" t="s">
        <v>52</v>
      </c>
      <c r="L217" s="1064">
        <v>7.25</v>
      </c>
      <c r="M217" s="1064"/>
      <c r="N217" s="561" t="s">
        <v>52</v>
      </c>
      <c r="O217" s="560" t="s">
        <v>52</v>
      </c>
      <c r="P217" s="560" t="s">
        <v>52</v>
      </c>
      <c r="Q217" s="1162" t="s">
        <v>52</v>
      </c>
      <c r="R217" s="1162"/>
      <c r="T217" s="698"/>
      <c r="U217" s="699"/>
      <c r="V217" s="239"/>
      <c r="W217" s="1172"/>
      <c r="X217" s="1172"/>
      <c r="Y217" s="698"/>
      <c r="Z217" s="699"/>
      <c r="AA217" s="239"/>
      <c r="AB217" s="1172"/>
      <c r="AC217" s="1172"/>
    </row>
    <row r="218" spans="2:29" ht="35.25" customHeight="1" thickBot="1" x14ac:dyDescent="0.25">
      <c r="B218" s="1011" t="s">
        <v>541</v>
      </c>
      <c r="C218" s="1011"/>
      <c r="D218" s="559">
        <v>10</v>
      </c>
      <c r="E218" s="560" t="s">
        <v>52</v>
      </c>
      <c r="F218" s="560" t="s">
        <v>52</v>
      </c>
      <c r="G218" s="1125">
        <v>10</v>
      </c>
      <c r="H218" s="1126"/>
      <c r="I218" s="540">
        <v>6.8</v>
      </c>
      <c r="J218" s="541">
        <v>6.666666666666667</v>
      </c>
      <c r="K218" s="630" t="s">
        <v>52</v>
      </c>
      <c r="L218" s="1064">
        <v>7.25</v>
      </c>
      <c r="M218" s="1064"/>
      <c r="N218" s="561" t="s">
        <v>52</v>
      </c>
      <c r="O218" s="560" t="s">
        <v>52</v>
      </c>
      <c r="P218" s="560" t="s">
        <v>52</v>
      </c>
      <c r="Q218" s="1162" t="s">
        <v>52</v>
      </c>
      <c r="R218" s="1162"/>
      <c r="T218" s="698"/>
      <c r="U218" s="699"/>
      <c r="V218" s="239"/>
      <c r="W218" s="1173"/>
      <c r="X218" s="1173"/>
      <c r="Y218" s="698"/>
      <c r="Z218" s="698"/>
      <c r="AA218" s="239"/>
      <c r="AB218" s="1173"/>
      <c r="AC218" s="1173"/>
    </row>
    <row r="219" spans="2:29" ht="48.75" customHeight="1" thickBot="1" x14ac:dyDescent="0.25">
      <c r="B219" s="1011" t="s">
        <v>542</v>
      </c>
      <c r="C219" s="1011"/>
      <c r="D219" s="559">
        <v>10</v>
      </c>
      <c r="E219" s="560" t="s">
        <v>52</v>
      </c>
      <c r="F219" s="560" t="s">
        <v>52</v>
      </c>
      <c r="G219" s="1125">
        <v>10</v>
      </c>
      <c r="H219" s="1126"/>
      <c r="I219" s="540">
        <v>6.8</v>
      </c>
      <c r="J219" s="541">
        <v>6.333333333333333</v>
      </c>
      <c r="K219" s="630" t="s">
        <v>52</v>
      </c>
      <c r="L219" s="1064">
        <v>6.63</v>
      </c>
      <c r="M219" s="1064"/>
      <c r="N219" s="561" t="s">
        <v>52</v>
      </c>
      <c r="O219" s="560" t="s">
        <v>52</v>
      </c>
      <c r="P219" s="560" t="s">
        <v>52</v>
      </c>
      <c r="Q219" s="1162" t="s">
        <v>52</v>
      </c>
      <c r="R219" s="1162"/>
      <c r="T219" s="698"/>
      <c r="U219" s="699"/>
      <c r="V219" s="239"/>
      <c r="W219" s="1173"/>
      <c r="X219" s="1173"/>
      <c r="Y219" s="698"/>
      <c r="Z219" s="699"/>
      <c r="AA219" s="239"/>
      <c r="AB219" s="1173"/>
      <c r="AC219" s="1173"/>
    </row>
    <row r="220" spans="2:29" ht="36.75" customHeight="1" thickBot="1" x14ac:dyDescent="0.25">
      <c r="B220" s="1011" t="s">
        <v>1066</v>
      </c>
      <c r="C220" s="1011"/>
      <c r="D220" s="559">
        <v>10</v>
      </c>
      <c r="E220" s="560" t="s">
        <v>52</v>
      </c>
      <c r="F220" s="560" t="s">
        <v>52</v>
      </c>
      <c r="G220" s="1125">
        <v>10</v>
      </c>
      <c r="H220" s="1126"/>
      <c r="I220" s="540">
        <v>9.1999999999999993</v>
      </c>
      <c r="J220" s="541">
        <v>7.333333333333333</v>
      </c>
      <c r="K220" s="630" t="s">
        <v>52</v>
      </c>
      <c r="L220" s="1064">
        <v>8.5</v>
      </c>
      <c r="M220" s="1064"/>
      <c r="N220" s="561" t="s">
        <v>52</v>
      </c>
      <c r="O220" s="560" t="s">
        <v>52</v>
      </c>
      <c r="P220" s="560" t="s">
        <v>52</v>
      </c>
      <c r="Q220" s="1162" t="s">
        <v>52</v>
      </c>
      <c r="R220" s="1162"/>
      <c r="T220" s="698"/>
      <c r="U220" s="698"/>
      <c r="V220" s="239"/>
      <c r="W220" s="1172"/>
      <c r="X220" s="1172"/>
      <c r="Y220" s="698"/>
      <c r="Z220" s="699"/>
      <c r="AA220" s="239"/>
      <c r="AB220" s="1173"/>
      <c r="AC220" s="1173"/>
    </row>
    <row r="221" spans="2:29" ht="39.75" customHeight="1" thickBot="1" x14ac:dyDescent="0.25">
      <c r="B221" s="1011" t="s">
        <v>543</v>
      </c>
      <c r="C221" s="1011"/>
      <c r="D221" s="559">
        <v>9</v>
      </c>
      <c r="E221" s="560" t="s">
        <v>52</v>
      </c>
      <c r="F221" s="560" t="s">
        <v>52</v>
      </c>
      <c r="G221" s="1125">
        <v>9</v>
      </c>
      <c r="H221" s="1126"/>
      <c r="I221" s="540">
        <v>7</v>
      </c>
      <c r="J221" s="541">
        <v>8</v>
      </c>
      <c r="K221" s="630" t="s">
        <v>52</v>
      </c>
      <c r="L221" s="1064">
        <v>7.38</v>
      </c>
      <c r="M221" s="1064"/>
      <c r="N221" s="561" t="s">
        <v>52</v>
      </c>
      <c r="O221" s="560" t="s">
        <v>52</v>
      </c>
      <c r="P221" s="560" t="s">
        <v>52</v>
      </c>
      <c r="Q221" s="1162" t="s">
        <v>52</v>
      </c>
      <c r="R221" s="1162"/>
      <c r="T221" s="698"/>
      <c r="U221" s="699"/>
      <c r="V221" s="239"/>
      <c r="W221" s="1173"/>
      <c r="X221" s="1173"/>
      <c r="Y221" s="698"/>
      <c r="Z221" s="699"/>
      <c r="AA221" s="239"/>
      <c r="AB221" s="1173"/>
      <c r="AC221" s="1173"/>
    </row>
    <row r="222" spans="2:29" ht="34.5" customHeight="1" thickBot="1" x14ac:dyDescent="0.25">
      <c r="B222" s="1011" t="s">
        <v>1067</v>
      </c>
      <c r="C222" s="1011"/>
      <c r="D222" s="559">
        <v>10</v>
      </c>
      <c r="E222" s="560" t="s">
        <v>52</v>
      </c>
      <c r="F222" s="560" t="s">
        <v>52</v>
      </c>
      <c r="G222" s="1125">
        <v>10</v>
      </c>
      <c r="H222" s="1126"/>
      <c r="I222" s="540">
        <v>9.8000000000000007</v>
      </c>
      <c r="J222" s="541">
        <v>7.333333333333333</v>
      </c>
      <c r="K222" s="630" t="s">
        <v>52</v>
      </c>
      <c r="L222" s="1064">
        <v>8.8800000000000008</v>
      </c>
      <c r="M222" s="1064"/>
      <c r="N222" s="561" t="s">
        <v>52</v>
      </c>
      <c r="O222" s="560" t="s">
        <v>52</v>
      </c>
      <c r="P222" s="560" t="s">
        <v>52</v>
      </c>
      <c r="Q222" s="1162" t="s">
        <v>52</v>
      </c>
      <c r="R222" s="1162"/>
      <c r="T222" s="698"/>
      <c r="U222" s="699"/>
      <c r="V222" s="239"/>
      <c r="W222" s="1172"/>
      <c r="X222" s="1172"/>
      <c r="Y222" s="698"/>
      <c r="Z222" s="698"/>
      <c r="AA222" s="239"/>
      <c r="AB222" s="1173"/>
      <c r="AC222" s="1173"/>
    </row>
    <row r="223" spans="2:29" ht="44.25" customHeight="1" thickBot="1" x14ac:dyDescent="0.25">
      <c r="B223" s="1011" t="s">
        <v>1068</v>
      </c>
      <c r="C223" s="1011"/>
      <c r="D223" s="559">
        <v>10</v>
      </c>
      <c r="E223" s="560" t="s">
        <v>52</v>
      </c>
      <c r="F223" s="560" t="s">
        <v>52</v>
      </c>
      <c r="G223" s="1125">
        <v>10</v>
      </c>
      <c r="H223" s="1126"/>
      <c r="I223" s="540">
        <v>8.4</v>
      </c>
      <c r="J223" s="541">
        <v>5.666666666666667</v>
      </c>
      <c r="K223" s="630" t="s">
        <v>52</v>
      </c>
      <c r="L223" s="1064">
        <v>7.38</v>
      </c>
      <c r="M223" s="1064"/>
      <c r="N223" s="561" t="s">
        <v>52</v>
      </c>
      <c r="O223" s="560" t="s">
        <v>52</v>
      </c>
      <c r="P223" s="560" t="s">
        <v>52</v>
      </c>
      <c r="Q223" s="1162" t="s">
        <v>52</v>
      </c>
      <c r="R223" s="1162"/>
      <c r="T223" s="698"/>
      <c r="U223" s="699"/>
      <c r="V223" s="239"/>
      <c r="W223" s="1173"/>
      <c r="X223" s="1173"/>
      <c r="Y223" s="698"/>
      <c r="Z223" s="698"/>
      <c r="AA223" s="239"/>
      <c r="AB223" s="1173"/>
      <c r="AC223" s="1173"/>
    </row>
    <row r="224" spans="2:29" ht="54.75" customHeight="1" thickBot="1" x14ac:dyDescent="0.25">
      <c r="B224" s="1011" t="s">
        <v>1069</v>
      </c>
      <c r="C224" s="1011"/>
      <c r="D224" s="559">
        <v>10</v>
      </c>
      <c r="E224" s="560" t="s">
        <v>52</v>
      </c>
      <c r="F224" s="560" t="s">
        <v>52</v>
      </c>
      <c r="G224" s="1125">
        <v>10</v>
      </c>
      <c r="H224" s="1126"/>
      <c r="I224" s="540">
        <v>9.6</v>
      </c>
      <c r="J224" s="541">
        <v>9</v>
      </c>
      <c r="K224" s="630" t="s">
        <v>52</v>
      </c>
      <c r="L224" s="1064">
        <v>9.3800000000000008</v>
      </c>
      <c r="M224" s="1064"/>
      <c r="N224" s="561" t="s">
        <v>52</v>
      </c>
      <c r="O224" s="560" t="s">
        <v>52</v>
      </c>
      <c r="P224" s="560" t="s">
        <v>52</v>
      </c>
      <c r="Q224" s="1162" t="s">
        <v>52</v>
      </c>
      <c r="R224" s="1162"/>
      <c r="T224" s="698"/>
      <c r="U224" s="698"/>
      <c r="V224" s="239"/>
      <c r="W224" s="1173"/>
      <c r="X224" s="1173"/>
      <c r="Y224" s="698"/>
      <c r="Z224" s="699"/>
      <c r="AA224" s="239"/>
      <c r="AB224" s="1173"/>
      <c r="AC224" s="1173"/>
    </row>
    <row r="225" spans="2:29" ht="55.5" customHeight="1" thickBot="1" x14ac:dyDescent="0.25">
      <c r="B225" s="1011" t="s">
        <v>1070</v>
      </c>
      <c r="C225" s="1011"/>
      <c r="D225" s="559">
        <v>8</v>
      </c>
      <c r="E225" s="560" t="s">
        <v>52</v>
      </c>
      <c r="F225" s="560" t="s">
        <v>52</v>
      </c>
      <c r="G225" s="1125">
        <v>8</v>
      </c>
      <c r="H225" s="1126"/>
      <c r="I225" s="540">
        <v>9.1999999999999993</v>
      </c>
      <c r="J225" s="541">
        <v>7.333333333333333</v>
      </c>
      <c r="K225" s="630" t="s">
        <v>52</v>
      </c>
      <c r="L225" s="1064">
        <v>8.5</v>
      </c>
      <c r="M225" s="1064"/>
      <c r="N225" s="561" t="s">
        <v>52</v>
      </c>
      <c r="O225" s="560" t="s">
        <v>52</v>
      </c>
      <c r="P225" s="560" t="s">
        <v>52</v>
      </c>
      <c r="Q225" s="1162" t="s">
        <v>52</v>
      </c>
      <c r="R225" s="1162"/>
      <c r="T225" s="698"/>
      <c r="U225" s="698"/>
      <c r="V225" s="239"/>
      <c r="W225" s="1173"/>
      <c r="X225" s="1173"/>
      <c r="Y225" s="698"/>
      <c r="Z225" s="699"/>
      <c r="AA225" s="239"/>
      <c r="AB225" s="1173"/>
      <c r="AC225" s="1173"/>
    </row>
    <row r="226" spans="2:29" ht="45" customHeight="1" thickBot="1" x14ac:dyDescent="0.25">
      <c r="B226" s="1011" t="s">
        <v>1071</v>
      </c>
      <c r="C226" s="1011"/>
      <c r="D226" s="563">
        <v>10</v>
      </c>
      <c r="E226" s="560" t="s">
        <v>52</v>
      </c>
      <c r="F226" s="560" t="s">
        <v>52</v>
      </c>
      <c r="G226" s="1125">
        <v>10</v>
      </c>
      <c r="H226" s="1126"/>
      <c r="I226" s="694">
        <v>8.8000000000000007</v>
      </c>
      <c r="J226" s="695">
        <v>9</v>
      </c>
      <c r="K226" s="630" t="s">
        <v>52</v>
      </c>
      <c r="L226" s="1058">
        <v>8.8800000000000008</v>
      </c>
      <c r="M226" s="1058"/>
      <c r="N226" s="561" t="s">
        <v>52</v>
      </c>
      <c r="O226" s="560" t="s">
        <v>52</v>
      </c>
      <c r="P226" s="560" t="s">
        <v>52</v>
      </c>
      <c r="Q226" s="1162" t="s">
        <v>52</v>
      </c>
      <c r="R226" s="1162"/>
      <c r="T226" s="698"/>
      <c r="U226" s="698"/>
      <c r="V226" s="239"/>
      <c r="W226" s="1173"/>
      <c r="X226" s="1173"/>
      <c r="Y226" s="698"/>
      <c r="Z226" s="699"/>
      <c r="AA226" s="239"/>
      <c r="AB226" s="1173"/>
      <c r="AC226" s="1173"/>
    </row>
    <row r="227" spans="2:29" ht="45" customHeight="1" thickBot="1" x14ac:dyDescent="0.25">
      <c r="B227" s="1127" t="s">
        <v>1072</v>
      </c>
      <c r="C227" s="1127"/>
      <c r="D227" s="564">
        <v>10</v>
      </c>
      <c r="E227" s="565" t="s">
        <v>52</v>
      </c>
      <c r="F227" s="565" t="s">
        <v>52</v>
      </c>
      <c r="G227" s="1159">
        <v>10</v>
      </c>
      <c r="H227" s="1160"/>
      <c r="I227" s="696">
        <v>9</v>
      </c>
      <c r="J227" s="697">
        <v>7.666666666666667</v>
      </c>
      <c r="K227" s="629" t="s">
        <v>52</v>
      </c>
      <c r="L227" s="1055">
        <v>8.5</v>
      </c>
      <c r="M227" s="1055"/>
      <c r="N227" s="567" t="s">
        <v>52</v>
      </c>
      <c r="O227" s="565" t="s">
        <v>52</v>
      </c>
      <c r="P227" s="565" t="s">
        <v>52</v>
      </c>
      <c r="Q227" s="1163" t="s">
        <v>52</v>
      </c>
      <c r="R227" s="1163"/>
      <c r="T227" s="698"/>
      <c r="U227" s="698"/>
      <c r="V227" s="239"/>
      <c r="W227" s="1173"/>
      <c r="X227" s="1173"/>
      <c r="Y227" s="698"/>
      <c r="Z227" s="699"/>
      <c r="AA227" s="239"/>
      <c r="AB227" s="1173"/>
      <c r="AC227" s="1173"/>
    </row>
    <row r="228" spans="2:29" ht="15" customHeight="1" x14ac:dyDescent="0.2">
      <c r="B228" s="899" t="s">
        <v>1483</v>
      </c>
      <c r="C228" s="899"/>
    </row>
    <row r="229" spans="2:29" x14ac:dyDescent="0.2">
      <c r="B229" s="41" t="s">
        <v>1476</v>
      </c>
      <c r="F229" s="46"/>
    </row>
    <row r="230" spans="2:29" x14ac:dyDescent="0.2">
      <c r="B230" s="483"/>
      <c r="C230" s="483"/>
      <c r="F230" s="46"/>
    </row>
    <row r="232" spans="2:29" x14ac:dyDescent="0.2">
      <c r="B232" s="900" t="s">
        <v>840</v>
      </c>
      <c r="C232" s="900"/>
      <c r="D232" s="900"/>
      <c r="E232" s="900"/>
      <c r="F232" s="900"/>
      <c r="G232" s="900"/>
    </row>
    <row r="233" spans="2:29" ht="15" customHeight="1" x14ac:dyDescent="0.2">
      <c r="B233" s="232"/>
      <c r="D233" s="741" t="s">
        <v>908</v>
      </c>
      <c r="E233" s="741"/>
      <c r="F233" s="741"/>
      <c r="G233" s="741"/>
      <c r="H233" s="741"/>
      <c r="I233" s="741" t="s">
        <v>462</v>
      </c>
      <c r="J233" s="741"/>
      <c r="K233" s="741"/>
      <c r="L233" s="741"/>
      <c r="M233" s="741"/>
      <c r="N233" s="741" t="s">
        <v>1026</v>
      </c>
      <c r="O233" s="741"/>
      <c r="P233" s="741"/>
      <c r="Q233" s="741"/>
      <c r="R233" s="741"/>
    </row>
    <row r="234" spans="2:29" ht="31.5" customHeight="1" x14ac:dyDescent="0.2">
      <c r="B234" s="1012" t="s">
        <v>1031</v>
      </c>
      <c r="C234" s="1012"/>
      <c r="D234" s="504" t="s">
        <v>29</v>
      </c>
      <c r="E234" s="207" t="s">
        <v>28</v>
      </c>
      <c r="F234" s="207" t="s">
        <v>1008</v>
      </c>
      <c r="G234" s="770" t="s">
        <v>1016</v>
      </c>
      <c r="H234" s="770"/>
      <c r="I234" s="504" t="s">
        <v>29</v>
      </c>
      <c r="J234" s="207" t="s">
        <v>28</v>
      </c>
      <c r="K234" s="207" t="s">
        <v>1008</v>
      </c>
      <c r="L234" s="770" t="s">
        <v>1016</v>
      </c>
      <c r="M234" s="770"/>
      <c r="N234" s="504" t="s">
        <v>29</v>
      </c>
      <c r="O234" s="207" t="s">
        <v>28</v>
      </c>
      <c r="P234" s="207" t="s">
        <v>1008</v>
      </c>
      <c r="Q234" s="770" t="s">
        <v>1016</v>
      </c>
      <c r="R234" s="770"/>
    </row>
    <row r="235" spans="2:29" ht="18.75" customHeight="1" x14ac:dyDescent="0.2">
      <c r="B235" s="1009" t="s">
        <v>454</v>
      </c>
      <c r="C235" s="1009"/>
      <c r="D235" s="507">
        <v>1</v>
      </c>
      <c r="E235" s="507">
        <v>0</v>
      </c>
      <c r="F235" s="507">
        <v>1</v>
      </c>
      <c r="G235" s="1009">
        <f>SUM(D235:F235)</f>
        <v>2</v>
      </c>
      <c r="H235" s="1098"/>
      <c r="I235" s="432">
        <v>5</v>
      </c>
      <c r="J235" s="507">
        <v>5</v>
      </c>
      <c r="K235" s="507">
        <v>0</v>
      </c>
      <c r="L235" s="1009">
        <f>SUM(I235:K235)</f>
        <v>10</v>
      </c>
      <c r="M235" s="1009"/>
      <c r="N235" s="432"/>
      <c r="O235" s="507"/>
      <c r="P235" s="507"/>
      <c r="Q235" s="1009">
        <f>SUM(N235:P235)</f>
        <v>0</v>
      </c>
      <c r="R235" s="1009"/>
    </row>
    <row r="236" spans="2:29" ht="26.25" customHeight="1" thickBot="1" x14ac:dyDescent="0.25">
      <c r="B236" s="1011" t="s">
        <v>1122</v>
      </c>
      <c r="C236" s="1011"/>
      <c r="D236" s="559">
        <v>9</v>
      </c>
      <c r="E236" s="562" t="s">
        <v>52</v>
      </c>
      <c r="F236" s="560">
        <v>0</v>
      </c>
      <c r="G236" s="1099">
        <v>4.5</v>
      </c>
      <c r="H236" s="1099"/>
      <c r="I236" s="540">
        <v>7.8</v>
      </c>
      <c r="J236" s="541">
        <v>8.6</v>
      </c>
      <c r="K236" s="630" t="s">
        <v>52</v>
      </c>
      <c r="L236" s="1064">
        <v>8.1999999999999993</v>
      </c>
      <c r="M236" s="1097"/>
      <c r="N236" s="560" t="s">
        <v>52</v>
      </c>
      <c r="O236" s="560" t="s">
        <v>52</v>
      </c>
      <c r="P236" s="560" t="s">
        <v>52</v>
      </c>
      <c r="Q236" s="560" t="s">
        <v>52</v>
      </c>
      <c r="R236" s="560" t="s">
        <v>52</v>
      </c>
      <c r="T236" s="698"/>
      <c r="U236" s="699"/>
      <c r="V236" s="239"/>
      <c r="W236" s="1173"/>
      <c r="X236" s="1173"/>
      <c r="Y236" s="699"/>
      <c r="Z236" s="699"/>
      <c r="AA236" s="239"/>
      <c r="AB236" s="1173"/>
      <c r="AC236" s="1173"/>
    </row>
    <row r="237" spans="2:29" ht="56.25" customHeight="1" thickBot="1" x14ac:dyDescent="0.25">
      <c r="B237" s="1011" t="s">
        <v>1123</v>
      </c>
      <c r="C237" s="1011"/>
      <c r="D237" s="559">
        <v>9</v>
      </c>
      <c r="E237" s="562" t="s">
        <v>52</v>
      </c>
      <c r="F237" s="560">
        <v>0</v>
      </c>
      <c r="G237" s="1099">
        <v>4.5</v>
      </c>
      <c r="H237" s="1099"/>
      <c r="I237" s="540">
        <v>7</v>
      </c>
      <c r="J237" s="541">
        <v>6.8</v>
      </c>
      <c r="K237" s="630" t="s">
        <v>52</v>
      </c>
      <c r="L237" s="1064">
        <v>6.9</v>
      </c>
      <c r="M237" s="1097"/>
      <c r="N237" s="560" t="s">
        <v>52</v>
      </c>
      <c r="O237" s="560" t="s">
        <v>52</v>
      </c>
      <c r="P237" s="560" t="s">
        <v>52</v>
      </c>
      <c r="Q237" s="560" t="s">
        <v>52</v>
      </c>
      <c r="R237" s="560" t="s">
        <v>52</v>
      </c>
      <c r="T237" s="698"/>
      <c r="U237" s="699"/>
      <c r="V237" s="239"/>
      <c r="W237" s="1173"/>
      <c r="X237" s="1173"/>
      <c r="Y237" s="699"/>
      <c r="Z237" s="699"/>
      <c r="AA237" s="239"/>
      <c r="AB237" s="1172"/>
      <c r="AC237" s="1172"/>
    </row>
    <row r="238" spans="2:29" ht="36.75" customHeight="1" thickBot="1" x14ac:dyDescent="0.25">
      <c r="B238" s="1011" t="s">
        <v>1124</v>
      </c>
      <c r="C238" s="1011"/>
      <c r="D238" s="559">
        <v>9</v>
      </c>
      <c r="E238" s="562" t="s">
        <v>52</v>
      </c>
      <c r="F238" s="560">
        <v>0</v>
      </c>
      <c r="G238" s="1099">
        <v>4.5</v>
      </c>
      <c r="H238" s="1099"/>
      <c r="I238" s="540">
        <v>8.6</v>
      </c>
      <c r="J238" s="541">
        <v>7</v>
      </c>
      <c r="K238" s="630" t="s">
        <v>52</v>
      </c>
      <c r="L238" s="1064">
        <v>7.8</v>
      </c>
      <c r="M238" s="1097"/>
      <c r="N238" s="560" t="s">
        <v>52</v>
      </c>
      <c r="O238" s="560" t="s">
        <v>52</v>
      </c>
      <c r="P238" s="560" t="s">
        <v>52</v>
      </c>
      <c r="Q238" s="560" t="s">
        <v>52</v>
      </c>
      <c r="R238" s="560" t="s">
        <v>52</v>
      </c>
      <c r="T238" s="698"/>
      <c r="U238" s="698"/>
      <c r="V238" s="239"/>
      <c r="W238" s="1172"/>
      <c r="X238" s="1172"/>
      <c r="Y238" s="699"/>
      <c r="Z238" s="699"/>
      <c r="AA238" s="239"/>
      <c r="AB238" s="1173"/>
      <c r="AC238" s="1173"/>
    </row>
    <row r="239" spans="2:29" ht="36.75" customHeight="1" thickBot="1" x14ac:dyDescent="0.25">
      <c r="B239" s="1011" t="s">
        <v>1125</v>
      </c>
      <c r="C239" s="1011"/>
      <c r="D239" s="559">
        <v>9</v>
      </c>
      <c r="E239" s="562" t="s">
        <v>52</v>
      </c>
      <c r="F239" s="560">
        <v>0</v>
      </c>
      <c r="G239" s="1099">
        <v>4.5</v>
      </c>
      <c r="H239" s="1099"/>
      <c r="I239" s="540">
        <v>6</v>
      </c>
      <c r="J239" s="693">
        <v>6.4</v>
      </c>
      <c r="K239" s="630" t="s">
        <v>52</v>
      </c>
      <c r="L239" s="1064">
        <v>6.2</v>
      </c>
      <c r="M239" s="1097"/>
      <c r="N239" s="560" t="s">
        <v>52</v>
      </c>
      <c r="O239" s="560" t="s">
        <v>52</v>
      </c>
      <c r="P239" s="560" t="s">
        <v>52</v>
      </c>
      <c r="Q239" s="560" t="s">
        <v>52</v>
      </c>
      <c r="R239" s="560" t="s">
        <v>52</v>
      </c>
      <c r="T239" s="698"/>
      <c r="U239" s="699"/>
      <c r="V239" s="239"/>
      <c r="W239" s="1173"/>
      <c r="X239" s="1173"/>
      <c r="Y239" s="698"/>
      <c r="Z239" s="698"/>
      <c r="AA239" s="239"/>
      <c r="AB239" s="1173"/>
      <c r="AC239" s="1173"/>
    </row>
    <row r="240" spans="2:29" ht="36.75" customHeight="1" thickBot="1" x14ac:dyDescent="0.25">
      <c r="B240" s="1011" t="s">
        <v>1121</v>
      </c>
      <c r="C240" s="1011"/>
      <c r="D240" s="559">
        <v>7</v>
      </c>
      <c r="E240" s="562" t="s">
        <v>52</v>
      </c>
      <c r="F240" s="560">
        <v>0</v>
      </c>
      <c r="G240" s="1099">
        <v>3.5</v>
      </c>
      <c r="H240" s="1099"/>
      <c r="I240" s="540">
        <v>8</v>
      </c>
      <c r="J240" s="541">
        <v>6.8</v>
      </c>
      <c r="K240" s="630" t="s">
        <v>52</v>
      </c>
      <c r="L240" s="1064">
        <v>7.4</v>
      </c>
      <c r="M240" s="1097"/>
      <c r="N240" s="560" t="s">
        <v>52</v>
      </c>
      <c r="O240" s="560" t="s">
        <v>52</v>
      </c>
      <c r="P240" s="560" t="s">
        <v>52</v>
      </c>
      <c r="Q240" s="560" t="s">
        <v>52</v>
      </c>
      <c r="R240" s="560" t="s">
        <v>52</v>
      </c>
      <c r="T240" s="698"/>
      <c r="U240" s="699"/>
      <c r="V240" s="239"/>
      <c r="W240" s="1173"/>
      <c r="X240" s="1173"/>
      <c r="Y240" s="699"/>
      <c r="Z240" s="699"/>
      <c r="AA240" s="239"/>
      <c r="AB240" s="1173"/>
      <c r="AC240" s="1173"/>
    </row>
    <row r="241" spans="2:30" ht="33.75" customHeight="1" thickBot="1" x14ac:dyDescent="0.25">
      <c r="B241" s="1011" t="s">
        <v>1126</v>
      </c>
      <c r="C241" s="1011"/>
      <c r="D241" s="559">
        <v>8</v>
      </c>
      <c r="E241" s="562" t="s">
        <v>52</v>
      </c>
      <c r="F241" s="560">
        <v>0</v>
      </c>
      <c r="G241" s="1099">
        <v>4</v>
      </c>
      <c r="H241" s="1099"/>
      <c r="I241" s="540">
        <v>8.4</v>
      </c>
      <c r="J241" s="693">
        <v>7.8</v>
      </c>
      <c r="K241" s="630" t="s">
        <v>52</v>
      </c>
      <c r="L241" s="1064">
        <v>8.1</v>
      </c>
      <c r="M241" s="1097"/>
      <c r="N241" s="560" t="s">
        <v>52</v>
      </c>
      <c r="O241" s="560" t="s">
        <v>52</v>
      </c>
      <c r="P241" s="560" t="s">
        <v>52</v>
      </c>
      <c r="Q241" s="560" t="s">
        <v>52</v>
      </c>
      <c r="R241" s="560" t="s">
        <v>52</v>
      </c>
      <c r="T241" s="698"/>
      <c r="U241" s="699"/>
      <c r="V241" s="239"/>
      <c r="W241" s="1173"/>
      <c r="X241" s="1173"/>
      <c r="Y241" s="699"/>
      <c r="Z241" s="698"/>
      <c r="AA241" s="239"/>
      <c r="AB241" s="1172"/>
      <c r="AC241" s="1172"/>
    </row>
    <row r="242" spans="2:30" ht="50.25" customHeight="1" thickBot="1" x14ac:dyDescent="0.25">
      <c r="B242" s="1011" t="s">
        <v>1127</v>
      </c>
      <c r="C242" s="1011"/>
      <c r="D242" s="559">
        <v>7</v>
      </c>
      <c r="E242" s="562" t="s">
        <v>52</v>
      </c>
      <c r="F242" s="560">
        <v>0</v>
      </c>
      <c r="G242" s="1099">
        <v>3.5</v>
      </c>
      <c r="H242" s="1099"/>
      <c r="I242" s="540">
        <v>7.4</v>
      </c>
      <c r="J242" s="541">
        <v>6.2</v>
      </c>
      <c r="K242" s="630" t="s">
        <v>52</v>
      </c>
      <c r="L242" s="1064">
        <v>6.8</v>
      </c>
      <c r="M242" s="1097"/>
      <c r="N242" s="560" t="s">
        <v>52</v>
      </c>
      <c r="O242" s="560" t="s">
        <v>52</v>
      </c>
      <c r="P242" s="560" t="s">
        <v>52</v>
      </c>
      <c r="Q242" s="560" t="s">
        <v>52</v>
      </c>
      <c r="R242" s="560" t="s">
        <v>52</v>
      </c>
      <c r="T242" s="698"/>
      <c r="U242" s="698"/>
      <c r="V242" s="239"/>
      <c r="W242" s="1173"/>
      <c r="X242" s="1173"/>
      <c r="Y242" s="698"/>
      <c r="Z242" s="699"/>
      <c r="AA242" s="239"/>
      <c r="AB242" s="1172"/>
      <c r="AC242" s="1172"/>
    </row>
    <row r="243" spans="2:30" ht="56.25" customHeight="1" thickBot="1" x14ac:dyDescent="0.25">
      <c r="B243" s="1011" t="s">
        <v>1128</v>
      </c>
      <c r="C243" s="1011"/>
      <c r="D243" s="559">
        <v>8</v>
      </c>
      <c r="E243" s="562" t="s">
        <v>52</v>
      </c>
      <c r="F243" s="560">
        <v>0</v>
      </c>
      <c r="G243" s="1123">
        <v>4</v>
      </c>
      <c r="H243" s="1123"/>
      <c r="I243" s="540">
        <v>8.1999999999999993</v>
      </c>
      <c r="J243" s="541">
        <v>6.2</v>
      </c>
      <c r="K243" s="630" t="s">
        <v>52</v>
      </c>
      <c r="L243" s="1064">
        <v>7.2</v>
      </c>
      <c r="M243" s="1097"/>
      <c r="N243" s="560" t="s">
        <v>52</v>
      </c>
      <c r="O243" s="560" t="s">
        <v>52</v>
      </c>
      <c r="P243" s="560" t="s">
        <v>52</v>
      </c>
      <c r="Q243" s="560" t="s">
        <v>52</v>
      </c>
      <c r="R243" s="560" t="s">
        <v>52</v>
      </c>
      <c r="T243" s="698"/>
      <c r="U243" s="699"/>
      <c r="V243" s="239"/>
      <c r="W243" s="1172"/>
      <c r="X243" s="1172"/>
      <c r="Y243" s="698"/>
      <c r="Z243" s="699"/>
      <c r="AA243" s="239"/>
      <c r="AB243" s="1173"/>
      <c r="AC243" s="1173"/>
    </row>
    <row r="244" spans="2:30" ht="46.5" customHeight="1" thickBot="1" x14ac:dyDescent="0.25">
      <c r="B244" s="1011" t="s">
        <v>1129</v>
      </c>
      <c r="C244" s="1011"/>
      <c r="D244" s="559">
        <v>8</v>
      </c>
      <c r="E244" s="562" t="s">
        <v>52</v>
      </c>
      <c r="F244" s="560">
        <v>0</v>
      </c>
      <c r="G244" s="1123">
        <v>4</v>
      </c>
      <c r="H244" s="1123"/>
      <c r="I244" s="540">
        <v>8</v>
      </c>
      <c r="J244" s="541">
        <v>6.4</v>
      </c>
      <c r="K244" s="630" t="s">
        <v>52</v>
      </c>
      <c r="L244" s="1064">
        <v>7.2</v>
      </c>
      <c r="M244" s="1097"/>
      <c r="N244" s="560" t="s">
        <v>52</v>
      </c>
      <c r="O244" s="560" t="s">
        <v>52</v>
      </c>
      <c r="P244" s="560" t="s">
        <v>52</v>
      </c>
      <c r="Q244" s="560" t="s">
        <v>52</v>
      </c>
      <c r="R244" s="560" t="s">
        <v>52</v>
      </c>
      <c r="T244" s="698"/>
      <c r="U244" s="699"/>
      <c r="V244" s="239"/>
      <c r="W244" s="1172"/>
      <c r="X244" s="1172"/>
      <c r="Y244" s="698"/>
      <c r="Z244" s="699"/>
      <c r="AA244" s="239"/>
      <c r="AB244" s="1173"/>
      <c r="AC244" s="1173"/>
    </row>
    <row r="245" spans="2:30" ht="46.5" customHeight="1" thickBot="1" x14ac:dyDescent="0.25">
      <c r="B245" s="1127" t="s">
        <v>1130</v>
      </c>
      <c r="C245" s="1127"/>
      <c r="D245" s="564">
        <v>8</v>
      </c>
      <c r="E245" s="566" t="s">
        <v>52</v>
      </c>
      <c r="F245" s="565">
        <v>0</v>
      </c>
      <c r="G245" s="1159">
        <v>4</v>
      </c>
      <c r="H245" s="1160"/>
      <c r="I245" s="696">
        <v>7.8</v>
      </c>
      <c r="J245" s="697">
        <v>6</v>
      </c>
      <c r="K245" s="629" t="s">
        <v>52</v>
      </c>
      <c r="L245" s="1055">
        <v>6.9</v>
      </c>
      <c r="M245" s="1164"/>
      <c r="N245" s="565" t="s">
        <v>52</v>
      </c>
      <c r="O245" s="565" t="s">
        <v>52</v>
      </c>
      <c r="P245" s="565" t="s">
        <v>52</v>
      </c>
      <c r="Q245" s="565" t="s">
        <v>52</v>
      </c>
      <c r="R245" s="565" t="s">
        <v>52</v>
      </c>
      <c r="T245" s="698"/>
      <c r="U245" s="698"/>
      <c r="V245" s="239"/>
      <c r="W245" s="1173"/>
      <c r="X245" s="1173"/>
      <c r="Y245" s="698"/>
      <c r="Z245" s="699"/>
      <c r="AA245" s="239"/>
      <c r="AB245" s="1173"/>
      <c r="AC245" s="1173"/>
    </row>
    <row r="246" spans="2:30" ht="15" customHeight="1" x14ac:dyDescent="0.2">
      <c r="B246" s="899" t="s">
        <v>1483</v>
      </c>
      <c r="C246" s="899"/>
    </row>
    <row r="247" spans="2:30" x14ac:dyDescent="0.2">
      <c r="B247" s="41" t="s">
        <v>1477</v>
      </c>
      <c r="G247" s="8"/>
    </row>
    <row r="250" spans="2:30" x14ac:dyDescent="0.2">
      <c r="B250" s="5" t="s">
        <v>1175</v>
      </c>
      <c r="I250" s="49"/>
    </row>
    <row r="251" spans="2:30" ht="15" customHeight="1" x14ac:dyDescent="0.2">
      <c r="B251" s="1079" t="s">
        <v>7</v>
      </c>
      <c r="C251" s="1079"/>
      <c r="D251" s="1079"/>
      <c r="E251" s="1079"/>
      <c r="F251" s="1079"/>
      <c r="G251" s="1079"/>
      <c r="H251" s="1079"/>
      <c r="I251" s="1079"/>
      <c r="J251" s="1079"/>
      <c r="K251" s="1079"/>
      <c r="L251" s="1079"/>
      <c r="M251" s="1079"/>
      <c r="N251" s="49"/>
    </row>
    <row r="252" spans="2:30" ht="15" customHeight="1" x14ac:dyDescent="0.2">
      <c r="B252" s="1008" t="s">
        <v>250</v>
      </c>
      <c r="C252" s="1008"/>
      <c r="D252" s="1012" t="s">
        <v>1139</v>
      </c>
      <c r="E252" s="1012"/>
      <c r="F252" s="1012" t="s">
        <v>545</v>
      </c>
      <c r="G252" s="1012"/>
      <c r="H252" s="1012" t="s">
        <v>1157</v>
      </c>
      <c r="I252" s="1012"/>
      <c r="J252" s="1012" t="s">
        <v>551</v>
      </c>
      <c r="K252" s="1012"/>
      <c r="L252" s="1012" t="s">
        <v>612</v>
      </c>
      <c r="M252" s="1012"/>
      <c r="N252" s="49"/>
    </row>
    <row r="253" spans="2:30" ht="48.75" customHeight="1" x14ac:dyDescent="0.2">
      <c r="B253" s="1012"/>
      <c r="C253" s="1012"/>
      <c r="D253" s="1080" t="s">
        <v>1132</v>
      </c>
      <c r="E253" s="1080"/>
      <c r="F253" s="1080" t="s">
        <v>1133</v>
      </c>
      <c r="G253" s="1080"/>
      <c r="H253" s="1080" t="s">
        <v>1158</v>
      </c>
      <c r="I253" s="1080"/>
      <c r="J253" s="1080" t="s">
        <v>1156</v>
      </c>
      <c r="K253" s="1080"/>
      <c r="L253" s="1096" t="s">
        <v>1131</v>
      </c>
      <c r="M253" s="1096"/>
    </row>
    <row r="254" spans="2:30" ht="28.5" customHeight="1" thickBot="1" x14ac:dyDescent="0.25">
      <c r="B254" s="1011" t="s">
        <v>474</v>
      </c>
      <c r="C254" s="1011"/>
      <c r="D254" s="1121">
        <v>8.5</v>
      </c>
      <c r="E254" s="1121"/>
      <c r="F254" s="1121">
        <v>8.1</v>
      </c>
      <c r="G254" s="1121"/>
      <c r="H254" s="1076">
        <v>8.5</v>
      </c>
      <c r="I254" s="1076"/>
      <c r="J254" s="1076">
        <v>8.5</v>
      </c>
      <c r="K254" s="1076"/>
      <c r="L254" s="1093">
        <v>7.6</v>
      </c>
      <c r="M254" s="1093"/>
      <c r="O254" s="8"/>
      <c r="P254" s="8"/>
      <c r="Q254" s="8"/>
      <c r="R254" s="8"/>
      <c r="S254" s="8"/>
      <c r="U254" s="1084"/>
      <c r="V254" s="1084"/>
      <c r="W254" s="1084"/>
      <c r="X254" s="1084"/>
      <c r="Y254" s="1084"/>
      <c r="Z254" s="1084"/>
      <c r="AA254" s="1084"/>
      <c r="AB254" s="1084"/>
      <c r="AC254" s="1167"/>
      <c r="AD254" s="1167"/>
    </row>
    <row r="255" spans="2:30" ht="28.5" customHeight="1" thickBot="1" x14ac:dyDescent="0.25">
      <c r="B255" s="1011" t="s">
        <v>477</v>
      </c>
      <c r="C255" s="1011"/>
      <c r="D255" s="1073">
        <v>7</v>
      </c>
      <c r="E255" s="1073"/>
      <c r="F255" s="1073">
        <v>8</v>
      </c>
      <c r="G255" s="1073"/>
      <c r="H255" s="1076">
        <v>8.5</v>
      </c>
      <c r="I255" s="1076"/>
      <c r="J255" s="1076">
        <v>8</v>
      </c>
      <c r="K255" s="1076"/>
      <c r="L255" s="1093">
        <v>7.8</v>
      </c>
      <c r="M255" s="1093"/>
      <c r="O255" s="8"/>
      <c r="P255" s="8"/>
      <c r="Q255" s="8"/>
      <c r="R255" s="8"/>
      <c r="S255" s="8"/>
      <c r="U255" s="1084"/>
      <c r="V255" s="1084"/>
      <c r="W255" s="1084"/>
      <c r="X255" s="1084"/>
      <c r="Y255" s="1084"/>
      <c r="Z255" s="1084"/>
      <c r="AA255" s="1084"/>
      <c r="AB255" s="1084"/>
      <c r="AC255" s="1167"/>
      <c r="AD255" s="1167"/>
    </row>
    <row r="256" spans="2:30" ht="19.5" customHeight="1" thickBot="1" x14ac:dyDescent="0.25">
      <c r="B256" s="1011" t="s">
        <v>285</v>
      </c>
      <c r="C256" s="1011"/>
      <c r="D256" s="1073">
        <v>2.7</v>
      </c>
      <c r="E256" s="1073"/>
      <c r="F256" s="1073">
        <v>3.3</v>
      </c>
      <c r="G256" s="1073"/>
      <c r="H256" s="1076">
        <v>4.7</v>
      </c>
      <c r="I256" s="1076"/>
      <c r="J256" s="1076">
        <v>5.3</v>
      </c>
      <c r="K256" s="1076"/>
      <c r="L256" s="1093">
        <v>4</v>
      </c>
      <c r="M256" s="1093"/>
      <c r="O256" s="8"/>
      <c r="P256" s="8"/>
      <c r="Q256" s="8"/>
      <c r="R256" s="8"/>
      <c r="S256" s="8"/>
      <c r="U256" s="1084"/>
      <c r="V256" s="1084"/>
      <c r="W256" s="1084"/>
      <c r="X256" s="1084"/>
      <c r="Y256" s="1084"/>
      <c r="Z256" s="1084"/>
      <c r="AA256" s="1084"/>
      <c r="AB256" s="1084"/>
      <c r="AC256" s="1167"/>
      <c r="AD256" s="1167"/>
    </row>
    <row r="257" spans="2:30" ht="26.25" customHeight="1" thickBot="1" x14ac:dyDescent="0.25">
      <c r="B257" s="1011" t="s">
        <v>1136</v>
      </c>
      <c r="C257" s="1011"/>
      <c r="D257" s="1073">
        <v>9.6999999999999993</v>
      </c>
      <c r="E257" s="1073"/>
      <c r="F257" s="1073">
        <v>9.3000000000000007</v>
      </c>
      <c r="G257" s="1073"/>
      <c r="H257" s="1076">
        <v>9.3000000000000007</v>
      </c>
      <c r="I257" s="1076"/>
      <c r="J257" s="1076">
        <v>9.6999999999999993</v>
      </c>
      <c r="K257" s="1076"/>
      <c r="L257" s="1093">
        <v>9.3000000000000007</v>
      </c>
      <c r="M257" s="1093"/>
      <c r="O257" s="8"/>
      <c r="P257" s="8"/>
      <c r="Q257" s="8"/>
      <c r="R257" s="8"/>
      <c r="S257" s="8"/>
      <c r="U257" s="1084"/>
      <c r="V257" s="1084"/>
      <c r="W257" s="1084"/>
      <c r="X257" s="1084"/>
      <c r="Y257" s="1084"/>
      <c r="Z257" s="1084"/>
      <c r="AA257" s="1084"/>
      <c r="AB257" s="1084"/>
      <c r="AC257" s="1167"/>
      <c r="AD257" s="1167"/>
    </row>
    <row r="258" spans="2:30" ht="19.5" customHeight="1" thickBot="1" x14ac:dyDescent="0.25">
      <c r="B258" s="1011" t="s">
        <v>1135</v>
      </c>
      <c r="C258" s="1011"/>
      <c r="D258" s="1073">
        <v>5</v>
      </c>
      <c r="E258" s="1073"/>
      <c r="F258" s="1073">
        <v>8</v>
      </c>
      <c r="G258" s="1073"/>
      <c r="H258" s="1076">
        <v>8</v>
      </c>
      <c r="I258" s="1076"/>
      <c r="J258" s="1076">
        <v>7</v>
      </c>
      <c r="K258" s="1076"/>
      <c r="L258" s="1093">
        <v>6</v>
      </c>
      <c r="M258" s="1093"/>
      <c r="O258" s="8"/>
      <c r="P258" s="8"/>
      <c r="Q258" s="8"/>
      <c r="R258" s="8"/>
      <c r="S258" s="8"/>
      <c r="U258" s="1084"/>
      <c r="V258" s="1084"/>
      <c r="W258" s="1084"/>
      <c r="X258" s="1084"/>
      <c r="Y258" s="1084"/>
      <c r="Z258" s="1084"/>
      <c r="AA258" s="1084"/>
      <c r="AB258" s="1084"/>
      <c r="AC258" s="1167"/>
      <c r="AD258" s="1167"/>
    </row>
    <row r="259" spans="2:30" ht="25.5" customHeight="1" thickBot="1" x14ac:dyDescent="0.25">
      <c r="B259" s="1011" t="s">
        <v>547</v>
      </c>
      <c r="C259" s="1011"/>
      <c r="D259" s="1073">
        <v>8.8000000000000007</v>
      </c>
      <c r="E259" s="1073"/>
      <c r="F259" s="1073">
        <v>9.6</v>
      </c>
      <c r="G259" s="1073"/>
      <c r="H259" s="1076">
        <v>9.1999999999999993</v>
      </c>
      <c r="I259" s="1076"/>
      <c r="J259" s="1076">
        <v>9.4</v>
      </c>
      <c r="K259" s="1076"/>
      <c r="L259" s="1093">
        <v>9.4</v>
      </c>
      <c r="M259" s="1093"/>
      <c r="O259" s="8"/>
      <c r="P259" s="8"/>
      <c r="Q259" s="8"/>
      <c r="R259" s="8"/>
      <c r="S259" s="8"/>
      <c r="U259" s="1084"/>
      <c r="V259" s="1084"/>
      <c r="W259" s="1084"/>
      <c r="X259" s="1084"/>
      <c r="Y259" s="1084"/>
      <c r="Z259" s="1084"/>
      <c r="AA259" s="1084"/>
      <c r="AB259" s="1084"/>
      <c r="AC259" s="1167"/>
      <c r="AD259" s="1167"/>
    </row>
    <row r="260" spans="2:30" ht="21" customHeight="1" thickBot="1" x14ac:dyDescent="0.25">
      <c r="B260" s="1011" t="s">
        <v>480</v>
      </c>
      <c r="C260" s="1011"/>
      <c r="D260" s="1073">
        <v>5</v>
      </c>
      <c r="E260" s="1073"/>
      <c r="F260" s="1073">
        <v>8</v>
      </c>
      <c r="G260" s="1073"/>
      <c r="H260" s="1076">
        <v>7</v>
      </c>
      <c r="I260" s="1076"/>
      <c r="J260" s="1076">
        <v>10</v>
      </c>
      <c r="K260" s="1076"/>
      <c r="L260" s="1093">
        <v>7</v>
      </c>
      <c r="M260" s="1093"/>
      <c r="O260" s="8"/>
      <c r="P260" s="8"/>
      <c r="Q260" s="8"/>
      <c r="R260" s="8"/>
      <c r="S260" s="8"/>
      <c r="U260" s="1084"/>
      <c r="V260" s="1084"/>
      <c r="W260" s="1084"/>
      <c r="X260" s="1084"/>
      <c r="Y260" s="1084"/>
      <c r="Z260" s="1084"/>
      <c r="AA260" s="1084"/>
      <c r="AB260" s="1084"/>
      <c r="AC260" s="1167"/>
      <c r="AD260" s="1167"/>
    </row>
    <row r="261" spans="2:30" ht="35.25" customHeight="1" thickBot="1" x14ac:dyDescent="0.25">
      <c r="B261" s="1011" t="s">
        <v>481</v>
      </c>
      <c r="C261" s="1011"/>
      <c r="D261" s="1073">
        <v>8.1</v>
      </c>
      <c r="E261" s="1073"/>
      <c r="F261" s="1073">
        <v>8.5</v>
      </c>
      <c r="G261" s="1073"/>
      <c r="H261" s="1076">
        <v>8.1</v>
      </c>
      <c r="I261" s="1076"/>
      <c r="J261" s="1076">
        <v>8.4</v>
      </c>
      <c r="K261" s="1076"/>
      <c r="L261" s="1093">
        <v>6.9</v>
      </c>
      <c r="M261" s="1093"/>
      <c r="O261" s="8"/>
      <c r="P261" s="8"/>
      <c r="Q261" s="8"/>
      <c r="R261" s="8"/>
      <c r="S261" s="8"/>
      <c r="U261" s="1084"/>
      <c r="V261" s="1084"/>
      <c r="W261" s="1084"/>
      <c r="X261" s="1084"/>
      <c r="Y261" s="1084"/>
      <c r="Z261" s="1084"/>
      <c r="AA261" s="1084"/>
      <c r="AB261" s="1084"/>
      <c r="AC261" s="1167"/>
      <c r="AD261" s="1167"/>
    </row>
    <row r="262" spans="2:30" ht="20.25" customHeight="1" thickBot="1" x14ac:dyDescent="0.25">
      <c r="B262" s="1011" t="s">
        <v>482</v>
      </c>
      <c r="C262" s="1011"/>
      <c r="D262" s="1073">
        <v>7</v>
      </c>
      <c r="E262" s="1073"/>
      <c r="F262" s="1073">
        <v>8</v>
      </c>
      <c r="G262" s="1073"/>
      <c r="H262" s="1076">
        <v>9</v>
      </c>
      <c r="I262" s="1076"/>
      <c r="J262" s="1076">
        <v>9</v>
      </c>
      <c r="K262" s="1076"/>
      <c r="L262" s="1093">
        <v>8.1999999999999993</v>
      </c>
      <c r="M262" s="1093"/>
      <c r="O262" s="8"/>
      <c r="P262" s="8"/>
      <c r="Q262" s="8"/>
      <c r="R262" s="8"/>
      <c r="S262" s="8"/>
      <c r="U262" s="1084"/>
      <c r="V262" s="1084"/>
      <c r="W262" s="1084"/>
      <c r="X262" s="1084"/>
      <c r="Y262" s="1084"/>
      <c r="Z262" s="1084"/>
      <c r="AA262" s="1084"/>
      <c r="AB262" s="1084"/>
      <c r="AC262" s="1167"/>
      <c r="AD262" s="1167"/>
    </row>
    <row r="263" spans="2:30" ht="25.5" customHeight="1" thickBot="1" x14ac:dyDescent="0.25">
      <c r="B263" s="1011" t="s">
        <v>483</v>
      </c>
      <c r="C263" s="1011"/>
      <c r="D263" s="1073">
        <v>9.1</v>
      </c>
      <c r="E263" s="1073"/>
      <c r="F263" s="1073">
        <v>9.3000000000000007</v>
      </c>
      <c r="G263" s="1073"/>
      <c r="H263" s="1076">
        <v>8.9</v>
      </c>
      <c r="I263" s="1076"/>
      <c r="J263" s="1076">
        <v>9.1999999999999993</v>
      </c>
      <c r="K263" s="1076"/>
      <c r="L263" s="1093">
        <v>9.4</v>
      </c>
      <c r="M263" s="1093"/>
      <c r="O263" s="8"/>
      <c r="P263" s="8"/>
      <c r="Q263" s="8"/>
      <c r="R263" s="8"/>
      <c r="S263" s="8"/>
      <c r="U263" s="1084"/>
      <c r="V263" s="1084"/>
      <c r="W263" s="1084"/>
      <c r="X263" s="1084"/>
      <c r="Y263" s="1084"/>
      <c r="Z263" s="1084"/>
      <c r="AA263" s="1084"/>
      <c r="AB263" s="1084"/>
      <c r="AC263" s="1167"/>
      <c r="AD263" s="1167"/>
    </row>
    <row r="264" spans="2:30" ht="19.5" customHeight="1" thickBot="1" x14ac:dyDescent="0.25">
      <c r="B264" s="1011" t="s">
        <v>489</v>
      </c>
      <c r="C264" s="1011"/>
      <c r="D264" s="1073">
        <v>8.3000000000000007</v>
      </c>
      <c r="E264" s="1073"/>
      <c r="F264" s="1073">
        <v>8.8000000000000007</v>
      </c>
      <c r="G264" s="1073"/>
      <c r="H264" s="1076">
        <v>8.6999999999999993</v>
      </c>
      <c r="I264" s="1076"/>
      <c r="J264" s="1076">
        <v>8.6999999999999993</v>
      </c>
      <c r="K264" s="1076"/>
      <c r="L264" s="1093">
        <v>8.6999999999999993</v>
      </c>
      <c r="M264" s="1093"/>
      <c r="O264" s="8"/>
      <c r="P264" s="8"/>
      <c r="Q264" s="8"/>
      <c r="R264" s="8"/>
      <c r="S264" s="8"/>
      <c r="U264" s="1084"/>
      <c r="V264" s="1084"/>
      <c r="W264" s="1084"/>
      <c r="X264" s="1084"/>
      <c r="Y264" s="1084"/>
      <c r="Z264" s="1084"/>
      <c r="AA264" s="1084"/>
      <c r="AB264" s="1084"/>
      <c r="AC264" s="1167"/>
      <c r="AD264" s="1167"/>
    </row>
    <row r="265" spans="2:30" ht="20.25" customHeight="1" thickBot="1" x14ac:dyDescent="0.25">
      <c r="B265" s="1011" t="s">
        <v>548</v>
      </c>
      <c r="C265" s="1011"/>
      <c r="D265" s="1073">
        <v>8.5</v>
      </c>
      <c r="E265" s="1073"/>
      <c r="F265" s="1073">
        <v>9.1</v>
      </c>
      <c r="G265" s="1073"/>
      <c r="H265" s="1076">
        <v>8.6999999999999993</v>
      </c>
      <c r="I265" s="1076"/>
      <c r="J265" s="1076">
        <v>8.6</v>
      </c>
      <c r="K265" s="1076"/>
      <c r="L265" s="1093">
        <v>8.6</v>
      </c>
      <c r="M265" s="1093"/>
      <c r="O265" s="8"/>
      <c r="P265" s="8"/>
      <c r="Q265" s="8"/>
      <c r="R265" s="8"/>
      <c r="S265" s="8"/>
      <c r="U265" s="1084"/>
      <c r="V265" s="1084"/>
      <c r="W265" s="1084"/>
      <c r="X265" s="1084"/>
      <c r="Y265" s="1084"/>
      <c r="Z265" s="1084"/>
      <c r="AA265" s="1084"/>
      <c r="AB265" s="1084"/>
      <c r="AC265" s="1167"/>
      <c r="AD265" s="1167"/>
    </row>
    <row r="266" spans="2:30" ht="26.25" customHeight="1" thickBot="1" x14ac:dyDescent="0.25">
      <c r="B266" s="1011" t="s">
        <v>549</v>
      </c>
      <c r="C266" s="1011"/>
      <c r="D266" s="1073">
        <v>8</v>
      </c>
      <c r="E266" s="1073"/>
      <c r="F266" s="1073">
        <v>9.3000000000000007</v>
      </c>
      <c r="G266" s="1073"/>
      <c r="H266" s="1076">
        <v>9.3000000000000007</v>
      </c>
      <c r="I266" s="1076"/>
      <c r="J266" s="1076">
        <v>8.3000000000000007</v>
      </c>
      <c r="K266" s="1076"/>
      <c r="L266" s="1093">
        <v>9.3000000000000007</v>
      </c>
      <c r="M266" s="1093"/>
      <c r="O266" s="8"/>
      <c r="P266" s="8"/>
      <c r="Q266" s="8"/>
      <c r="R266" s="8"/>
      <c r="S266" s="8"/>
      <c r="U266" s="1084"/>
      <c r="V266" s="1084"/>
      <c r="W266" s="1084"/>
      <c r="X266" s="1084"/>
      <c r="Y266" s="1084"/>
      <c r="Z266" s="1084"/>
      <c r="AA266" s="1084"/>
      <c r="AB266" s="1084"/>
      <c r="AC266" s="1167"/>
      <c r="AD266" s="1167"/>
    </row>
    <row r="267" spans="2:30" ht="36.75" customHeight="1" thickBot="1" x14ac:dyDescent="0.25">
      <c r="B267" s="1011" t="s">
        <v>491</v>
      </c>
      <c r="C267" s="1011"/>
      <c r="D267" s="1073">
        <v>6.5</v>
      </c>
      <c r="E267" s="1073"/>
      <c r="F267" s="1073">
        <v>7.5</v>
      </c>
      <c r="G267" s="1073"/>
      <c r="H267" s="1076">
        <v>7</v>
      </c>
      <c r="I267" s="1076"/>
      <c r="J267" s="1076">
        <v>8.5</v>
      </c>
      <c r="K267" s="1076"/>
      <c r="L267" s="1093">
        <v>7.5</v>
      </c>
      <c r="M267" s="1093"/>
      <c r="O267" s="8"/>
      <c r="P267" s="8"/>
      <c r="Q267" s="8"/>
      <c r="R267" s="8"/>
      <c r="S267" s="8"/>
      <c r="U267" s="1084"/>
      <c r="V267" s="1084"/>
      <c r="W267" s="1084"/>
      <c r="X267" s="1084"/>
      <c r="Y267" s="1084"/>
      <c r="Z267" s="1084"/>
      <c r="AA267" s="1084"/>
      <c r="AB267" s="1084"/>
      <c r="AC267" s="1167"/>
      <c r="AD267" s="1167"/>
    </row>
    <row r="268" spans="2:30" ht="18.75" customHeight="1" thickBot="1" x14ac:dyDescent="0.25">
      <c r="B268" s="1011" t="s">
        <v>1134</v>
      </c>
      <c r="C268" s="1011"/>
      <c r="D268" s="1073">
        <v>4.5</v>
      </c>
      <c r="E268" s="1073"/>
      <c r="F268" s="1073">
        <v>6.6</v>
      </c>
      <c r="G268" s="1073"/>
      <c r="H268" s="1076">
        <v>5.3</v>
      </c>
      <c r="I268" s="1076"/>
      <c r="J268" s="1076">
        <v>5.9</v>
      </c>
      <c r="K268" s="1076"/>
      <c r="L268" s="1093">
        <v>5.0999999999999996</v>
      </c>
      <c r="M268" s="1093"/>
      <c r="O268" s="8"/>
      <c r="P268" s="8"/>
      <c r="Q268" s="8"/>
      <c r="R268" s="8"/>
      <c r="S268" s="8"/>
      <c r="U268" s="1084"/>
      <c r="V268" s="1084"/>
      <c r="W268" s="1084"/>
      <c r="X268" s="1084"/>
      <c r="Y268" s="1084"/>
      <c r="Z268" s="1084"/>
      <c r="AA268" s="1084"/>
      <c r="AB268" s="1084"/>
      <c r="AC268" s="1167"/>
      <c r="AD268" s="1167"/>
    </row>
    <row r="269" spans="2:30" ht="27" customHeight="1" thickBot="1" x14ac:dyDescent="0.25">
      <c r="B269" s="1011" t="s">
        <v>485</v>
      </c>
      <c r="C269" s="1011"/>
      <c r="D269" s="1073">
        <v>5</v>
      </c>
      <c r="E269" s="1073"/>
      <c r="F269" s="1073">
        <v>8</v>
      </c>
      <c r="G269" s="1073"/>
      <c r="H269" s="1076">
        <v>5.6</v>
      </c>
      <c r="I269" s="1076"/>
      <c r="J269" s="1076">
        <v>5.2</v>
      </c>
      <c r="K269" s="1076"/>
      <c r="L269" s="1093">
        <v>5.4</v>
      </c>
      <c r="M269" s="1093"/>
      <c r="O269" s="8"/>
      <c r="P269" s="8"/>
      <c r="Q269" s="8"/>
      <c r="R269" s="8"/>
      <c r="S269" s="8"/>
      <c r="U269" s="1084"/>
      <c r="V269" s="1084"/>
      <c r="W269" s="1084"/>
      <c r="X269" s="1084"/>
      <c r="Y269" s="1084"/>
      <c r="Z269" s="1084"/>
      <c r="AA269" s="1084"/>
      <c r="AB269" s="1084"/>
      <c r="AC269" s="1167"/>
      <c r="AD269" s="1167"/>
    </row>
    <row r="270" spans="2:30" ht="37.5" customHeight="1" thickBot="1" x14ac:dyDescent="0.25">
      <c r="B270" s="1011" t="s">
        <v>492</v>
      </c>
      <c r="C270" s="1011"/>
      <c r="D270" s="1073">
        <v>8</v>
      </c>
      <c r="E270" s="1073"/>
      <c r="F270" s="1073">
        <v>8</v>
      </c>
      <c r="G270" s="1073"/>
      <c r="H270" s="1076">
        <v>7.5</v>
      </c>
      <c r="I270" s="1076"/>
      <c r="J270" s="1076">
        <v>7.5</v>
      </c>
      <c r="K270" s="1076"/>
      <c r="L270" s="1093">
        <v>7.5</v>
      </c>
      <c r="M270" s="1093"/>
      <c r="O270" s="8"/>
      <c r="P270" s="8"/>
      <c r="Q270" s="8"/>
      <c r="R270" s="8"/>
      <c r="S270" s="8"/>
      <c r="U270" s="1084"/>
      <c r="V270" s="1084"/>
      <c r="W270" s="1084"/>
      <c r="X270" s="1084"/>
      <c r="Y270" s="1084"/>
      <c r="Z270" s="1084"/>
      <c r="AA270" s="1084"/>
      <c r="AB270" s="1084"/>
      <c r="AC270" s="1167"/>
      <c r="AD270" s="1167"/>
    </row>
    <row r="271" spans="2:30" ht="28.5" customHeight="1" thickBot="1" x14ac:dyDescent="0.25">
      <c r="B271" s="1011" t="s">
        <v>486</v>
      </c>
      <c r="C271" s="1011"/>
      <c r="D271" s="1073">
        <v>8.8000000000000007</v>
      </c>
      <c r="E271" s="1073"/>
      <c r="F271" s="1073">
        <v>9.3000000000000007</v>
      </c>
      <c r="G271" s="1073"/>
      <c r="H271" s="1076">
        <v>9</v>
      </c>
      <c r="I271" s="1076"/>
      <c r="J271" s="1076">
        <v>9.1</v>
      </c>
      <c r="K271" s="1076"/>
      <c r="L271" s="1093">
        <v>8.6999999999999993</v>
      </c>
      <c r="M271" s="1093"/>
      <c r="O271" s="8"/>
      <c r="P271" s="8"/>
      <c r="Q271" s="8"/>
      <c r="R271" s="8"/>
      <c r="S271" s="8"/>
      <c r="U271" s="1084"/>
      <c r="V271" s="1084"/>
      <c r="W271" s="1084"/>
      <c r="X271" s="1084"/>
      <c r="Y271" s="1084"/>
      <c r="Z271" s="1084"/>
      <c r="AA271" s="1084"/>
      <c r="AB271" s="1084"/>
      <c r="AC271" s="1167"/>
      <c r="AD271" s="1167"/>
    </row>
    <row r="272" spans="2:30" ht="36" customHeight="1" thickBot="1" x14ac:dyDescent="0.25">
      <c r="B272" s="1011" t="s">
        <v>487</v>
      </c>
      <c r="C272" s="1011"/>
      <c r="D272" s="1073">
        <v>6.9</v>
      </c>
      <c r="E272" s="1073"/>
      <c r="F272" s="1073">
        <v>7.6</v>
      </c>
      <c r="G272" s="1073"/>
      <c r="H272" s="1076">
        <v>7.5</v>
      </c>
      <c r="I272" s="1076"/>
      <c r="J272" s="1076">
        <v>7.1</v>
      </c>
      <c r="K272" s="1076"/>
      <c r="L272" s="1093">
        <v>6.9</v>
      </c>
      <c r="M272" s="1093"/>
      <c r="O272" s="8"/>
      <c r="P272" s="8"/>
      <c r="Q272" s="8"/>
      <c r="R272" s="8"/>
      <c r="S272" s="8"/>
      <c r="U272" s="1084"/>
      <c r="V272" s="1084"/>
      <c r="W272" s="1084"/>
      <c r="X272" s="1084"/>
      <c r="Y272" s="1084"/>
      <c r="Z272" s="1084"/>
      <c r="AA272" s="1084"/>
      <c r="AB272" s="1084"/>
      <c r="AC272" s="1167"/>
      <c r="AD272" s="1167"/>
    </row>
    <row r="273" spans="2:30" ht="18.75" customHeight="1" thickBot="1" x14ac:dyDescent="0.25">
      <c r="B273" s="1011" t="s">
        <v>490</v>
      </c>
      <c r="C273" s="1011"/>
      <c r="D273" s="1073">
        <v>7.3</v>
      </c>
      <c r="E273" s="1073"/>
      <c r="F273" s="1073">
        <v>8.9</v>
      </c>
      <c r="G273" s="1073"/>
      <c r="H273" s="1076">
        <v>7.6</v>
      </c>
      <c r="I273" s="1076"/>
      <c r="J273" s="1076">
        <v>7.4</v>
      </c>
      <c r="K273" s="1076"/>
      <c r="L273" s="1093">
        <v>7.1</v>
      </c>
      <c r="M273" s="1093"/>
      <c r="O273" s="8"/>
      <c r="P273" s="8"/>
      <c r="Q273" s="8"/>
      <c r="R273" s="8"/>
      <c r="S273" s="8"/>
      <c r="U273" s="1084"/>
      <c r="V273" s="1084"/>
      <c r="W273" s="1084"/>
      <c r="X273" s="1084"/>
      <c r="Y273" s="1084"/>
      <c r="Z273" s="1084"/>
      <c r="AA273" s="1084"/>
      <c r="AB273" s="1084"/>
      <c r="AC273" s="1167"/>
      <c r="AD273" s="1167"/>
    </row>
    <row r="274" spans="2:30" ht="19.5" customHeight="1" thickBot="1" x14ac:dyDescent="0.25">
      <c r="B274" s="1011" t="s">
        <v>286</v>
      </c>
      <c r="C274" s="1011"/>
      <c r="D274" s="1073">
        <v>7.5</v>
      </c>
      <c r="E274" s="1073"/>
      <c r="F274" s="1073">
        <v>7.3</v>
      </c>
      <c r="G274" s="1073"/>
      <c r="H274" s="1076">
        <v>9</v>
      </c>
      <c r="I274" s="1076"/>
      <c r="J274" s="1076">
        <v>9.3000000000000007</v>
      </c>
      <c r="K274" s="1076"/>
      <c r="L274" s="1093">
        <v>7.3</v>
      </c>
      <c r="M274" s="1093"/>
      <c r="O274" s="8"/>
      <c r="P274" s="8"/>
      <c r="Q274" s="8"/>
      <c r="R274" s="8"/>
      <c r="S274" s="8"/>
      <c r="U274" s="1084"/>
      <c r="V274" s="1084"/>
      <c r="W274" s="1084"/>
      <c r="X274" s="1084"/>
      <c r="Y274" s="1084"/>
      <c r="Z274" s="1084"/>
      <c r="AA274" s="1084"/>
      <c r="AB274" s="1084"/>
      <c r="AC274" s="1167"/>
      <c r="AD274" s="1167"/>
    </row>
    <row r="275" spans="2:30" ht="39.75" customHeight="1" thickBot="1" x14ac:dyDescent="0.25">
      <c r="B275" s="1011" t="s">
        <v>497</v>
      </c>
      <c r="C275" s="1011"/>
      <c r="D275" s="1073">
        <v>10</v>
      </c>
      <c r="E275" s="1073"/>
      <c r="F275" s="1073">
        <v>9.6999999999999993</v>
      </c>
      <c r="G275" s="1073"/>
      <c r="H275" s="1076">
        <v>9.6999999999999993</v>
      </c>
      <c r="I275" s="1076"/>
      <c r="J275" s="1076">
        <v>9.6999999999999993</v>
      </c>
      <c r="K275" s="1076"/>
      <c r="L275" s="1093">
        <v>9.6999999999999993</v>
      </c>
      <c r="M275" s="1093"/>
      <c r="O275" s="8"/>
      <c r="P275" s="8"/>
      <c r="Q275" s="8"/>
      <c r="R275" s="8"/>
      <c r="S275" s="8"/>
      <c r="U275" s="1084"/>
      <c r="V275" s="1084"/>
      <c r="W275" s="1084"/>
      <c r="X275" s="1084"/>
      <c r="Y275" s="1084"/>
      <c r="Z275" s="1084"/>
      <c r="AA275" s="1084"/>
      <c r="AB275" s="1084"/>
      <c r="AC275" s="1167"/>
      <c r="AD275" s="1167"/>
    </row>
    <row r="276" spans="2:30" ht="25.5" customHeight="1" thickBot="1" x14ac:dyDescent="0.25">
      <c r="B276" s="1011" t="s">
        <v>1137</v>
      </c>
      <c r="C276" s="1011"/>
      <c r="D276" s="1073">
        <v>9.6</v>
      </c>
      <c r="E276" s="1073"/>
      <c r="F276" s="1073">
        <v>9.9</v>
      </c>
      <c r="G276" s="1073"/>
      <c r="H276" s="1076">
        <v>9.6</v>
      </c>
      <c r="I276" s="1076"/>
      <c r="J276" s="1076">
        <v>9.6</v>
      </c>
      <c r="K276" s="1076"/>
      <c r="L276" s="1093">
        <v>9.9</v>
      </c>
      <c r="M276" s="1093"/>
      <c r="O276" s="8"/>
      <c r="P276" s="8"/>
      <c r="Q276" s="8"/>
      <c r="R276" s="8"/>
      <c r="S276" s="8"/>
      <c r="U276" s="1084"/>
      <c r="V276" s="1084"/>
      <c r="W276" s="1084"/>
      <c r="X276" s="1084"/>
      <c r="Y276" s="1084"/>
      <c r="Z276" s="1084"/>
      <c r="AA276" s="1084"/>
      <c r="AB276" s="1084"/>
      <c r="AC276" s="1167"/>
      <c r="AD276" s="1167"/>
    </row>
    <row r="277" spans="2:30" ht="36" customHeight="1" thickBot="1" x14ac:dyDescent="0.25">
      <c r="B277" s="1011" t="s">
        <v>1138</v>
      </c>
      <c r="C277" s="1011"/>
      <c r="D277" s="1073">
        <v>8.1</v>
      </c>
      <c r="E277" s="1073"/>
      <c r="F277" s="1073">
        <v>8.6</v>
      </c>
      <c r="G277" s="1073"/>
      <c r="H277" s="1076">
        <v>9.1</v>
      </c>
      <c r="I277" s="1076"/>
      <c r="J277" s="1076">
        <v>8.3000000000000007</v>
      </c>
      <c r="K277" s="1076"/>
      <c r="L277" s="1093">
        <v>8</v>
      </c>
      <c r="M277" s="1093"/>
      <c r="O277" s="8"/>
      <c r="P277" s="8"/>
      <c r="Q277" s="8"/>
      <c r="R277" s="8"/>
      <c r="S277" s="8"/>
      <c r="U277" s="1084"/>
      <c r="V277" s="1084"/>
      <c r="W277" s="1084"/>
      <c r="X277" s="1084"/>
      <c r="Y277" s="1084"/>
      <c r="Z277" s="1084"/>
      <c r="AA277" s="1084"/>
      <c r="AB277" s="1084"/>
      <c r="AC277" s="1167"/>
      <c r="AD277" s="1167"/>
    </row>
    <row r="278" spans="2:30" ht="29.25" customHeight="1" thickBot="1" x14ac:dyDescent="0.25">
      <c r="B278" s="1011" t="s">
        <v>308</v>
      </c>
      <c r="C278" s="1011"/>
      <c r="D278" s="1073">
        <v>10</v>
      </c>
      <c r="E278" s="1073"/>
      <c r="F278" s="1073">
        <v>9</v>
      </c>
      <c r="G278" s="1073"/>
      <c r="H278" s="1076">
        <v>9</v>
      </c>
      <c r="I278" s="1076"/>
      <c r="J278" s="1076">
        <v>10</v>
      </c>
      <c r="K278" s="1076"/>
      <c r="L278" s="1093">
        <v>9</v>
      </c>
      <c r="M278" s="1093"/>
      <c r="O278" s="8"/>
      <c r="P278" s="8"/>
      <c r="Q278" s="8"/>
      <c r="R278" s="8"/>
      <c r="S278" s="8"/>
      <c r="U278" s="1084"/>
      <c r="V278" s="1084"/>
      <c r="W278" s="1084"/>
      <c r="X278" s="1084"/>
      <c r="Y278" s="1084"/>
      <c r="Z278" s="1084"/>
      <c r="AA278" s="1084"/>
      <c r="AB278" s="1084"/>
      <c r="AC278" s="1167"/>
      <c r="AD278" s="1167"/>
    </row>
    <row r="279" spans="2:30" ht="18.75" customHeight="1" thickBot="1" x14ac:dyDescent="0.25">
      <c r="B279" s="1011" t="s">
        <v>309</v>
      </c>
      <c r="C279" s="1011"/>
      <c r="D279" s="1073">
        <v>9</v>
      </c>
      <c r="E279" s="1073"/>
      <c r="F279" s="1073">
        <v>9.5</v>
      </c>
      <c r="G279" s="1073"/>
      <c r="H279" s="1076">
        <v>9.5</v>
      </c>
      <c r="I279" s="1076"/>
      <c r="J279" s="1076">
        <v>9</v>
      </c>
      <c r="K279" s="1076"/>
      <c r="L279" s="1093">
        <v>8</v>
      </c>
      <c r="M279" s="1093"/>
      <c r="O279" s="8"/>
      <c r="P279" s="8"/>
      <c r="Q279" s="8"/>
      <c r="R279" s="8"/>
      <c r="S279" s="8"/>
      <c r="U279" s="1084"/>
      <c r="V279" s="1084"/>
      <c r="W279" s="1084"/>
      <c r="X279" s="1084"/>
      <c r="Y279" s="1084"/>
      <c r="Z279" s="1084"/>
      <c r="AA279" s="1084"/>
      <c r="AB279" s="1084"/>
      <c r="AC279" s="1167"/>
      <c r="AD279" s="1167"/>
    </row>
    <row r="280" spans="2:30" ht="27.75" customHeight="1" thickBot="1" x14ac:dyDescent="0.25">
      <c r="B280" s="1011" t="s">
        <v>496</v>
      </c>
      <c r="C280" s="1011"/>
      <c r="D280" s="1073">
        <v>7.5</v>
      </c>
      <c r="E280" s="1073"/>
      <c r="F280" s="1073">
        <v>9.3000000000000007</v>
      </c>
      <c r="G280" s="1073"/>
      <c r="H280" s="1076">
        <v>5.8</v>
      </c>
      <c r="I280" s="1076"/>
      <c r="J280" s="1076">
        <v>6.5</v>
      </c>
      <c r="K280" s="1076"/>
      <c r="L280" s="1093">
        <v>7.8</v>
      </c>
      <c r="M280" s="1093"/>
      <c r="O280" s="8"/>
      <c r="P280" s="8"/>
      <c r="Q280" s="8"/>
      <c r="R280" s="8"/>
      <c r="S280" s="8"/>
      <c r="U280" s="1084"/>
      <c r="V280" s="1084"/>
      <c r="W280" s="1084"/>
      <c r="X280" s="1084"/>
      <c r="Y280" s="1084"/>
      <c r="Z280" s="1084"/>
      <c r="AA280" s="1084"/>
      <c r="AB280" s="1084"/>
      <c r="AC280" s="1167"/>
      <c r="AD280" s="1167"/>
    </row>
    <row r="281" spans="2:30" ht="27.75" customHeight="1" thickBot="1" x14ac:dyDescent="0.25">
      <c r="B281" s="1011" t="s">
        <v>495</v>
      </c>
      <c r="C281" s="1011"/>
      <c r="D281" s="1073">
        <v>7.3</v>
      </c>
      <c r="E281" s="1073"/>
      <c r="F281" s="1073">
        <v>8</v>
      </c>
      <c r="G281" s="1073"/>
      <c r="H281" s="1076">
        <v>9.3000000000000007</v>
      </c>
      <c r="I281" s="1076"/>
      <c r="J281" s="1076">
        <v>9.5</v>
      </c>
      <c r="K281" s="1076"/>
      <c r="L281" s="1093">
        <v>8.8000000000000007</v>
      </c>
      <c r="M281" s="1093"/>
      <c r="O281" s="8"/>
      <c r="P281" s="8"/>
      <c r="Q281" s="8"/>
      <c r="R281" s="8"/>
      <c r="S281" s="8"/>
      <c r="U281" s="1084"/>
      <c r="V281" s="1084"/>
      <c r="W281" s="1084"/>
      <c r="X281" s="1084"/>
      <c r="Y281" s="1084"/>
      <c r="Z281" s="1084"/>
      <c r="AA281" s="1084"/>
      <c r="AB281" s="1084"/>
      <c r="AC281" s="1167"/>
      <c r="AD281" s="1167"/>
    </row>
    <row r="282" spans="2:30" ht="18.75" customHeight="1" thickBot="1" x14ac:dyDescent="0.25">
      <c r="B282" s="1011" t="s">
        <v>303</v>
      </c>
      <c r="C282" s="1011"/>
      <c r="D282" s="1073">
        <v>9</v>
      </c>
      <c r="E282" s="1073"/>
      <c r="F282" s="1073">
        <v>9</v>
      </c>
      <c r="G282" s="1073"/>
      <c r="H282" s="1076">
        <v>9</v>
      </c>
      <c r="I282" s="1076"/>
      <c r="J282" s="1076">
        <v>9</v>
      </c>
      <c r="K282" s="1076"/>
      <c r="L282" s="1093">
        <v>9</v>
      </c>
      <c r="M282" s="1093"/>
      <c r="O282" s="8"/>
      <c r="P282" s="8"/>
      <c r="Q282" s="8"/>
      <c r="R282" s="8"/>
      <c r="S282" s="8"/>
      <c r="U282" s="1084"/>
      <c r="V282" s="1084"/>
      <c r="W282" s="1084"/>
      <c r="X282" s="1084"/>
      <c r="Y282" s="1084"/>
      <c r="Z282" s="1084"/>
      <c r="AA282" s="1084"/>
      <c r="AB282" s="1084"/>
      <c r="AC282" s="1167"/>
      <c r="AD282" s="1167"/>
    </row>
    <row r="283" spans="2:30" ht="18.75" customHeight="1" thickBot="1" x14ac:dyDescent="0.25">
      <c r="B283" s="1011" t="s">
        <v>494</v>
      </c>
      <c r="C283" s="1011"/>
      <c r="D283" s="1073">
        <v>2</v>
      </c>
      <c r="E283" s="1073"/>
      <c r="F283" s="1073">
        <v>4</v>
      </c>
      <c r="G283" s="1073"/>
      <c r="H283" s="1076">
        <v>7</v>
      </c>
      <c r="I283" s="1076"/>
      <c r="J283" s="1076">
        <v>6</v>
      </c>
      <c r="K283" s="1076"/>
      <c r="L283" s="1093">
        <v>0</v>
      </c>
      <c r="M283" s="1093"/>
      <c r="O283" s="8"/>
      <c r="P283" s="8"/>
      <c r="Q283" s="8"/>
      <c r="R283" s="8"/>
      <c r="S283" s="8"/>
      <c r="U283" s="1084"/>
      <c r="V283" s="1084"/>
      <c r="W283" s="1084"/>
      <c r="X283" s="1084"/>
      <c r="Y283" s="1084"/>
      <c r="Z283" s="1084"/>
      <c r="AA283" s="1084"/>
      <c r="AB283" s="1084"/>
      <c r="AC283" s="1167"/>
      <c r="AD283" s="1167"/>
    </row>
    <row r="284" spans="2:30" ht="38.25" customHeight="1" thickBot="1" x14ac:dyDescent="0.25">
      <c r="B284" s="1011" t="s">
        <v>498</v>
      </c>
      <c r="C284" s="1011"/>
      <c r="D284" s="1073">
        <v>8</v>
      </c>
      <c r="E284" s="1073"/>
      <c r="F284" s="1073">
        <v>8.6</v>
      </c>
      <c r="G284" s="1073"/>
      <c r="H284" s="1076">
        <v>8.6</v>
      </c>
      <c r="I284" s="1076"/>
      <c r="J284" s="1076">
        <v>8.1</v>
      </c>
      <c r="K284" s="1076"/>
      <c r="L284" s="1093">
        <v>8.3000000000000007</v>
      </c>
      <c r="M284" s="1093"/>
      <c r="O284" s="8"/>
      <c r="P284" s="8"/>
      <c r="Q284" s="8"/>
      <c r="R284" s="8"/>
      <c r="S284" s="8"/>
      <c r="U284" s="1084"/>
      <c r="V284" s="1084"/>
      <c r="W284" s="1084"/>
      <c r="X284" s="1084"/>
      <c r="Y284" s="1084"/>
      <c r="Z284" s="1084"/>
      <c r="AA284" s="1084"/>
      <c r="AB284" s="1084"/>
      <c r="AC284" s="1167"/>
      <c r="AD284" s="1167"/>
    </row>
    <row r="285" spans="2:30" ht="26.25" customHeight="1" thickBot="1" x14ac:dyDescent="0.25">
      <c r="B285" s="1011" t="s">
        <v>305</v>
      </c>
      <c r="C285" s="1011"/>
      <c r="D285" s="1073">
        <v>10</v>
      </c>
      <c r="E285" s="1073"/>
      <c r="F285" s="1073">
        <v>10</v>
      </c>
      <c r="G285" s="1073"/>
      <c r="H285" s="1076">
        <v>10</v>
      </c>
      <c r="I285" s="1076"/>
      <c r="J285" s="1076">
        <v>9</v>
      </c>
      <c r="K285" s="1076"/>
      <c r="L285" s="1093">
        <v>9</v>
      </c>
      <c r="M285" s="1093"/>
      <c r="O285" s="8"/>
      <c r="P285" s="8"/>
      <c r="Q285" s="8"/>
      <c r="R285" s="8"/>
      <c r="S285" s="8"/>
      <c r="U285" s="1084"/>
      <c r="V285" s="1084"/>
      <c r="W285" s="1084"/>
      <c r="X285" s="1084"/>
      <c r="Y285" s="1084"/>
      <c r="Z285" s="1084"/>
      <c r="AA285" s="1084"/>
      <c r="AB285" s="1084"/>
      <c r="AC285" s="1167"/>
      <c r="AD285" s="1167"/>
    </row>
    <row r="286" spans="2:30" ht="37.5" customHeight="1" thickBot="1" x14ac:dyDescent="0.25">
      <c r="B286" s="1011" t="s">
        <v>1433</v>
      </c>
      <c r="C286" s="1011"/>
      <c r="D286" s="1073">
        <v>10</v>
      </c>
      <c r="E286" s="1073"/>
      <c r="F286" s="1073">
        <v>10</v>
      </c>
      <c r="G286" s="1073"/>
      <c r="H286" s="1076">
        <v>10</v>
      </c>
      <c r="I286" s="1076"/>
      <c r="J286" s="1076">
        <v>10</v>
      </c>
      <c r="K286" s="1076"/>
      <c r="L286" s="1093">
        <v>10</v>
      </c>
      <c r="M286" s="1093"/>
      <c r="O286" s="8"/>
      <c r="P286" s="8"/>
      <c r="Q286" s="8"/>
      <c r="R286" s="8"/>
      <c r="S286" s="8"/>
      <c r="U286" s="1084"/>
      <c r="V286" s="1084"/>
      <c r="W286" s="1084"/>
      <c r="X286" s="1084"/>
      <c r="Y286" s="1084"/>
      <c r="Z286" s="1084"/>
      <c r="AA286" s="1084"/>
      <c r="AB286" s="1084"/>
      <c r="AC286" s="1167"/>
      <c r="AD286" s="1167"/>
    </row>
    <row r="287" spans="2:30" ht="48" customHeight="1" thickBot="1" x14ac:dyDescent="0.25">
      <c r="B287" s="999" t="s">
        <v>1159</v>
      </c>
      <c r="C287" s="999"/>
      <c r="D287" s="1073">
        <v>10</v>
      </c>
      <c r="E287" s="1073"/>
      <c r="F287" s="1073">
        <v>10</v>
      </c>
      <c r="G287" s="1073"/>
      <c r="H287" s="1076">
        <v>10</v>
      </c>
      <c r="I287" s="1076"/>
      <c r="J287" s="1076">
        <v>10</v>
      </c>
      <c r="K287" s="1076"/>
      <c r="L287" s="1093">
        <v>10</v>
      </c>
      <c r="M287" s="1093"/>
      <c r="O287" s="8"/>
      <c r="P287" s="8"/>
      <c r="Q287" s="8"/>
      <c r="R287" s="8"/>
      <c r="S287" s="8"/>
      <c r="U287" s="1084"/>
      <c r="V287" s="1084"/>
      <c r="W287" s="1084"/>
      <c r="X287" s="1084"/>
      <c r="Y287" s="1084"/>
      <c r="Z287" s="1084"/>
      <c r="AA287" s="1084"/>
      <c r="AB287" s="1084"/>
      <c r="AC287" s="1167"/>
      <c r="AD287" s="1167"/>
    </row>
    <row r="288" spans="2:30" ht="44.25" customHeight="1" thickBot="1" x14ac:dyDescent="0.25">
      <c r="B288" s="1011" t="s">
        <v>1434</v>
      </c>
      <c r="C288" s="1011"/>
      <c r="D288" s="1073">
        <v>10</v>
      </c>
      <c r="E288" s="1073"/>
      <c r="F288" s="1073">
        <v>10</v>
      </c>
      <c r="G288" s="1073"/>
      <c r="H288" s="1076">
        <v>10</v>
      </c>
      <c r="I288" s="1076"/>
      <c r="J288" s="1076">
        <v>10</v>
      </c>
      <c r="K288" s="1076"/>
      <c r="L288" s="1093">
        <v>10</v>
      </c>
      <c r="M288" s="1093"/>
      <c r="O288" s="8"/>
      <c r="P288" s="8"/>
      <c r="Q288" s="8"/>
      <c r="R288" s="8"/>
      <c r="S288" s="8"/>
      <c r="U288" s="1084"/>
      <c r="V288" s="1084"/>
      <c r="W288" s="1084"/>
      <c r="X288" s="1084"/>
      <c r="Y288" s="1084"/>
      <c r="Z288" s="1084"/>
      <c r="AA288" s="1084"/>
      <c r="AB288" s="1084"/>
      <c r="AC288" s="1167"/>
      <c r="AD288" s="1167"/>
    </row>
    <row r="289" spans="2:30" ht="44.25" customHeight="1" thickBot="1" x14ac:dyDescent="0.25">
      <c r="B289" s="1128" t="s">
        <v>1478</v>
      </c>
      <c r="C289" s="1128"/>
      <c r="D289" s="1073">
        <v>6.5</v>
      </c>
      <c r="E289" s="1073"/>
      <c r="F289" s="1073">
        <v>8</v>
      </c>
      <c r="G289" s="1073"/>
      <c r="H289" s="1073">
        <v>7.9</v>
      </c>
      <c r="I289" s="1073"/>
      <c r="J289" s="1073">
        <v>7.4</v>
      </c>
      <c r="K289" s="1073"/>
      <c r="L289" s="1071">
        <v>6.4</v>
      </c>
      <c r="M289" s="1071"/>
      <c r="O289" s="8"/>
      <c r="P289" s="8"/>
      <c r="Q289" s="8"/>
      <c r="R289" s="8"/>
      <c r="S289" s="8"/>
      <c r="U289" s="239"/>
      <c r="V289" s="239"/>
      <c r="W289" s="239"/>
      <c r="X289" s="239"/>
      <c r="Y289" s="239"/>
      <c r="Z289" s="239"/>
      <c r="AA289" s="239"/>
      <c r="AB289" s="239"/>
      <c r="AC289" s="707"/>
      <c r="AD289" s="707"/>
    </row>
    <row r="290" spans="2:30" ht="18.75" customHeight="1" thickBot="1" x14ac:dyDescent="0.25">
      <c r="B290" s="1011" t="s">
        <v>312</v>
      </c>
      <c r="C290" s="1011"/>
      <c r="D290" s="1073">
        <v>10</v>
      </c>
      <c r="E290" s="1073"/>
      <c r="F290" s="1073">
        <v>10</v>
      </c>
      <c r="G290" s="1073"/>
      <c r="H290" s="1076">
        <v>10</v>
      </c>
      <c r="I290" s="1076"/>
      <c r="J290" s="1076">
        <v>10</v>
      </c>
      <c r="K290" s="1076"/>
      <c r="L290" s="1093">
        <v>10</v>
      </c>
      <c r="M290" s="1093"/>
      <c r="O290" s="8"/>
      <c r="P290" s="8"/>
      <c r="Q290" s="8"/>
      <c r="R290" s="8"/>
      <c r="S290" s="8"/>
      <c r="U290" s="1084"/>
      <c r="V290" s="1084"/>
      <c r="W290" s="1084"/>
      <c r="X290" s="1084"/>
      <c r="Y290" s="1084"/>
      <c r="Z290" s="1084"/>
      <c r="AA290" s="1084"/>
      <c r="AB290" s="1084"/>
      <c r="AC290" s="1167"/>
      <c r="AD290" s="1167"/>
    </row>
    <row r="291" spans="2:30" ht="18.75" customHeight="1" thickBot="1" x14ac:dyDescent="0.25">
      <c r="B291" s="1011" t="s">
        <v>779</v>
      </c>
      <c r="C291" s="1011"/>
      <c r="D291" s="1073">
        <v>6</v>
      </c>
      <c r="E291" s="1073"/>
      <c r="F291" s="1073">
        <v>10</v>
      </c>
      <c r="G291" s="1073"/>
      <c r="H291" s="1076">
        <v>10</v>
      </c>
      <c r="I291" s="1076"/>
      <c r="J291" s="1076">
        <v>10</v>
      </c>
      <c r="K291" s="1076"/>
      <c r="L291" s="1093">
        <v>6</v>
      </c>
      <c r="M291" s="1093"/>
      <c r="O291" s="8"/>
      <c r="P291" s="8"/>
      <c r="Q291" s="8"/>
      <c r="R291" s="8"/>
      <c r="S291" s="8"/>
      <c r="U291" s="1084"/>
      <c r="V291" s="1084"/>
      <c r="W291" s="1084"/>
      <c r="X291" s="1084"/>
      <c r="Y291" s="1084"/>
      <c r="Z291" s="1084"/>
      <c r="AA291" s="1084"/>
      <c r="AB291" s="1084"/>
      <c r="AC291" s="1167"/>
      <c r="AD291" s="1167"/>
    </row>
    <row r="292" spans="2:30" ht="21" customHeight="1" thickBot="1" x14ac:dyDescent="0.25">
      <c r="B292" s="1161" t="s">
        <v>550</v>
      </c>
      <c r="C292" s="1161"/>
      <c r="D292" s="1094">
        <f>AVERAGE(D254:D291)</f>
        <v>7.7157894736842119</v>
      </c>
      <c r="E292" s="1094"/>
      <c r="F292" s="1094">
        <f t="shared" ref="F292" si="0">AVERAGE(F254:F291)</f>
        <v>8.5289473684210524</v>
      </c>
      <c r="G292" s="1094"/>
      <c r="H292" s="1094">
        <f t="shared" ref="H292" si="1">AVERAGE(H254:H291)</f>
        <v>8.4447368421052627</v>
      </c>
      <c r="I292" s="1094"/>
      <c r="J292" s="1094">
        <f t="shared" ref="J292" si="2">AVERAGE(J254:J291)</f>
        <v>8.4789473684210517</v>
      </c>
      <c r="K292" s="1094"/>
      <c r="L292" s="1094">
        <f t="shared" ref="L292" si="3">AVERAGE(L254:L291)</f>
        <v>7.8315789473684214</v>
      </c>
      <c r="M292" s="1094"/>
      <c r="O292" s="8"/>
      <c r="P292" s="8"/>
      <c r="Q292" s="8"/>
      <c r="R292" s="8"/>
      <c r="S292" s="8"/>
      <c r="U292" s="1168"/>
      <c r="V292" s="1168"/>
      <c r="W292" s="1168"/>
      <c r="X292" s="1168"/>
      <c r="Y292" s="1168"/>
      <c r="Z292" s="1168"/>
      <c r="AA292" s="1168"/>
      <c r="AB292" s="1168"/>
      <c r="AC292" s="1168"/>
      <c r="AD292" s="1168"/>
    </row>
    <row r="293" spans="2:30" x14ac:dyDescent="0.2">
      <c r="Q293" s="8"/>
    </row>
    <row r="294" spans="2:30" ht="15" customHeight="1" x14ac:dyDescent="0.2">
      <c r="B294" s="1079" t="s">
        <v>8</v>
      </c>
      <c r="C294" s="1079"/>
      <c r="D294" s="1079"/>
      <c r="E294" s="1079"/>
      <c r="F294" s="1079"/>
      <c r="G294" s="1079"/>
      <c r="H294" s="1079"/>
      <c r="I294" s="1079"/>
      <c r="J294" s="1079"/>
      <c r="K294" s="1079"/>
      <c r="L294" s="1079"/>
      <c r="M294" s="1079"/>
    </row>
    <row r="295" spans="2:30" ht="15" customHeight="1" x14ac:dyDescent="0.2">
      <c r="B295" s="1008" t="s">
        <v>250</v>
      </c>
      <c r="C295" s="1008"/>
      <c r="D295" s="1012" t="s">
        <v>1139</v>
      </c>
      <c r="E295" s="1012"/>
      <c r="F295" s="1012" t="s">
        <v>545</v>
      </c>
      <c r="G295" s="1012"/>
      <c r="H295" s="1012" t="s">
        <v>1157</v>
      </c>
      <c r="I295" s="1012"/>
      <c r="J295" s="1012" t="s">
        <v>551</v>
      </c>
      <c r="K295" s="1012"/>
      <c r="L295" s="1012" t="s">
        <v>612</v>
      </c>
      <c r="M295" s="1012"/>
    </row>
    <row r="296" spans="2:30" ht="47.25" customHeight="1" x14ac:dyDescent="0.2">
      <c r="B296" s="1012"/>
      <c r="C296" s="1012"/>
      <c r="D296" s="1080" t="s">
        <v>1132</v>
      </c>
      <c r="E296" s="1080"/>
      <c r="F296" s="1080" t="s">
        <v>1133</v>
      </c>
      <c r="G296" s="1080"/>
      <c r="H296" s="1080" t="s">
        <v>1158</v>
      </c>
      <c r="I296" s="1080"/>
      <c r="J296" s="1080" t="s">
        <v>1443</v>
      </c>
      <c r="K296" s="1080"/>
      <c r="L296" s="1080" t="s">
        <v>1131</v>
      </c>
      <c r="M296" s="1080"/>
    </row>
    <row r="297" spans="2:30" ht="18.75" customHeight="1" thickBot="1" x14ac:dyDescent="0.25">
      <c r="B297" s="1078" t="s">
        <v>341</v>
      </c>
      <c r="C297" s="1078"/>
      <c r="D297" s="1076">
        <v>6.67</v>
      </c>
      <c r="E297" s="1076"/>
      <c r="F297" s="1076">
        <v>8.4</v>
      </c>
      <c r="G297" s="1076"/>
      <c r="H297" s="1077">
        <v>8.4</v>
      </c>
      <c r="I297" s="1077"/>
      <c r="J297" s="1074">
        <v>7.53</v>
      </c>
      <c r="K297" s="835"/>
      <c r="L297" s="1075">
        <v>7.2</v>
      </c>
      <c r="M297" s="1075"/>
      <c r="O297" s="8"/>
      <c r="P297" s="8"/>
      <c r="Q297" s="8"/>
      <c r="R297" s="8"/>
      <c r="S297" s="8"/>
      <c r="U297" s="1084"/>
      <c r="V297" s="1084"/>
      <c r="W297" s="1084"/>
      <c r="X297" s="1084"/>
      <c r="Y297" s="1169"/>
      <c r="Z297" s="1169"/>
      <c r="AA297" s="1169"/>
      <c r="AB297" s="1170"/>
      <c r="AC297" s="1167"/>
      <c r="AD297" s="1167"/>
    </row>
    <row r="298" spans="2:30" ht="18.75" customHeight="1" thickBot="1" x14ac:dyDescent="0.25">
      <c r="B298" s="1078" t="s">
        <v>347</v>
      </c>
      <c r="C298" s="1078"/>
      <c r="D298" s="1076">
        <v>9.27</v>
      </c>
      <c r="E298" s="1076"/>
      <c r="F298" s="1076">
        <v>9.09</v>
      </c>
      <c r="G298" s="1076"/>
      <c r="H298" s="1070">
        <v>9.36</v>
      </c>
      <c r="I298" s="1070"/>
      <c r="J298" s="1070">
        <v>8</v>
      </c>
      <c r="K298" s="1081"/>
      <c r="L298" s="1075">
        <v>9.18</v>
      </c>
      <c r="M298" s="1075"/>
      <c r="O298" s="8"/>
      <c r="P298" s="8"/>
      <c r="Q298" s="8"/>
      <c r="R298" s="8"/>
      <c r="S298" s="8"/>
      <c r="U298" s="1084"/>
      <c r="V298" s="1084"/>
      <c r="W298" s="1084"/>
      <c r="X298" s="1084"/>
      <c r="Y298" s="1169"/>
      <c r="Z298" s="1169"/>
      <c r="AA298" s="1169"/>
      <c r="AB298" s="1170"/>
      <c r="AC298" s="1167"/>
      <c r="AD298" s="1167"/>
    </row>
    <row r="299" spans="2:30" ht="26.25" customHeight="1" thickBot="1" x14ac:dyDescent="0.25">
      <c r="B299" s="1078" t="s">
        <v>615</v>
      </c>
      <c r="C299" s="1078"/>
      <c r="D299" s="1076">
        <v>5.18</v>
      </c>
      <c r="E299" s="1076"/>
      <c r="F299" s="1076">
        <v>4.6399999999999997</v>
      </c>
      <c r="G299" s="1076"/>
      <c r="H299" s="1070">
        <v>5.36</v>
      </c>
      <c r="I299" s="1070"/>
      <c r="J299" s="1070">
        <v>4.55</v>
      </c>
      <c r="K299" s="1081"/>
      <c r="L299" s="1075">
        <v>4.82</v>
      </c>
      <c r="M299" s="1075"/>
      <c r="O299" s="8"/>
      <c r="P299" s="8"/>
      <c r="Q299" s="8"/>
      <c r="R299" s="8"/>
      <c r="S299" s="8"/>
      <c r="U299" s="1084"/>
      <c r="V299" s="1084"/>
      <c r="W299" s="1084"/>
      <c r="X299" s="1084"/>
      <c r="Y299" s="1169"/>
      <c r="Z299" s="1169"/>
      <c r="AA299" s="1169"/>
      <c r="AB299" s="1170"/>
      <c r="AC299" s="1167"/>
      <c r="AD299" s="1167"/>
    </row>
    <row r="300" spans="2:30" ht="24.75" customHeight="1" thickBot="1" x14ac:dyDescent="0.25">
      <c r="B300" s="1078" t="s">
        <v>616</v>
      </c>
      <c r="C300" s="1078"/>
      <c r="D300" s="1076">
        <v>8</v>
      </c>
      <c r="E300" s="1076"/>
      <c r="F300" s="1076">
        <v>7.75</v>
      </c>
      <c r="G300" s="1076"/>
      <c r="H300" s="1070">
        <v>8.1300000000000008</v>
      </c>
      <c r="I300" s="1070"/>
      <c r="J300" s="1070">
        <v>7.75</v>
      </c>
      <c r="K300" s="1081"/>
      <c r="L300" s="1075">
        <v>7.63</v>
      </c>
      <c r="M300" s="1075"/>
      <c r="O300" s="8"/>
      <c r="P300" s="8"/>
      <c r="Q300" s="8"/>
      <c r="R300" s="8"/>
      <c r="S300" s="8"/>
      <c r="U300" s="1084"/>
      <c r="V300" s="1084"/>
      <c r="W300" s="1084"/>
      <c r="X300" s="1084"/>
      <c r="Y300" s="1169"/>
      <c r="Z300" s="1169"/>
      <c r="AA300" s="1169"/>
      <c r="AB300" s="1170"/>
      <c r="AC300" s="1167"/>
      <c r="AD300" s="1167"/>
    </row>
    <row r="301" spans="2:30" ht="26.25" customHeight="1" thickBot="1" x14ac:dyDescent="0.25">
      <c r="B301" s="1078" t="s">
        <v>613</v>
      </c>
      <c r="C301" s="1078"/>
      <c r="D301" s="1076">
        <v>6.77</v>
      </c>
      <c r="E301" s="1076"/>
      <c r="F301" s="1076">
        <v>6.77</v>
      </c>
      <c r="G301" s="1076"/>
      <c r="H301" s="1070">
        <v>7.45</v>
      </c>
      <c r="I301" s="1070"/>
      <c r="J301" s="1077">
        <v>6.41</v>
      </c>
      <c r="K301" s="1092"/>
      <c r="L301" s="1075">
        <v>6.18</v>
      </c>
      <c r="M301" s="1075"/>
      <c r="O301" s="8"/>
      <c r="P301" s="8"/>
      <c r="Q301" s="8"/>
      <c r="R301" s="8"/>
      <c r="S301" s="8"/>
      <c r="U301" s="1084"/>
      <c r="V301" s="1084"/>
      <c r="W301" s="1084"/>
      <c r="X301" s="1084"/>
      <c r="Y301" s="1169"/>
      <c r="Z301" s="1169"/>
      <c r="AA301" s="1169"/>
      <c r="AB301" s="1170"/>
      <c r="AC301" s="1167"/>
      <c r="AD301" s="1167"/>
    </row>
    <row r="302" spans="2:30" ht="18.75" customHeight="1" thickBot="1" x14ac:dyDescent="0.25">
      <c r="B302" s="1078" t="s">
        <v>348</v>
      </c>
      <c r="C302" s="1078"/>
      <c r="D302" s="1076">
        <v>7.33</v>
      </c>
      <c r="E302" s="1076"/>
      <c r="F302" s="1076">
        <v>7.67</v>
      </c>
      <c r="G302" s="1076"/>
      <c r="H302" s="1070">
        <v>7.67</v>
      </c>
      <c r="I302" s="1070"/>
      <c r="J302" s="1070">
        <v>6.83</v>
      </c>
      <c r="K302" s="1081"/>
      <c r="L302" s="1075">
        <v>7.33</v>
      </c>
      <c r="M302" s="1075"/>
      <c r="O302" s="8"/>
      <c r="P302" s="8"/>
      <c r="Q302" s="8"/>
      <c r="R302" s="8"/>
      <c r="S302" s="8"/>
      <c r="U302" s="1084"/>
      <c r="V302" s="1084"/>
      <c r="W302" s="1084"/>
      <c r="X302" s="1084"/>
      <c r="Y302" s="1169"/>
      <c r="Z302" s="1169"/>
      <c r="AA302" s="1169"/>
      <c r="AB302" s="1170"/>
      <c r="AC302" s="1167"/>
      <c r="AD302" s="1167"/>
    </row>
    <row r="303" spans="2:30" ht="18.75" customHeight="1" thickBot="1" x14ac:dyDescent="0.25">
      <c r="B303" s="1078" t="s">
        <v>614</v>
      </c>
      <c r="C303" s="1078"/>
      <c r="D303" s="1076">
        <v>7.25</v>
      </c>
      <c r="E303" s="1076"/>
      <c r="F303" s="1076">
        <v>7.08</v>
      </c>
      <c r="G303" s="1076"/>
      <c r="H303" s="1070">
        <v>7</v>
      </c>
      <c r="I303" s="1070"/>
      <c r="J303" s="1070">
        <v>7.25</v>
      </c>
      <c r="K303" s="1081"/>
      <c r="L303" s="1075">
        <v>7.67</v>
      </c>
      <c r="M303" s="1075"/>
      <c r="O303" s="8"/>
      <c r="P303" s="8"/>
      <c r="Q303" s="8"/>
      <c r="R303" s="8"/>
      <c r="S303" s="8"/>
      <c r="U303" s="1084"/>
      <c r="V303" s="1084"/>
      <c r="W303" s="1084"/>
      <c r="X303" s="1084"/>
      <c r="Y303" s="1169"/>
      <c r="Z303" s="1169"/>
      <c r="AA303" s="1169"/>
      <c r="AB303" s="1170"/>
      <c r="AC303" s="1167"/>
      <c r="AD303" s="1167"/>
    </row>
    <row r="304" spans="2:30" ht="18.75" customHeight="1" thickBot="1" x14ac:dyDescent="0.25">
      <c r="B304" s="1078" t="s">
        <v>918</v>
      </c>
      <c r="C304" s="1078"/>
      <c r="D304" s="1076">
        <v>8.3800000000000008</v>
      </c>
      <c r="E304" s="1076"/>
      <c r="F304" s="1076">
        <v>8.43</v>
      </c>
      <c r="G304" s="1076"/>
      <c r="H304" s="1070">
        <v>9</v>
      </c>
      <c r="I304" s="1070"/>
      <c r="J304" s="1070">
        <v>8.52</v>
      </c>
      <c r="K304" s="1081"/>
      <c r="L304" s="1075">
        <v>8.76</v>
      </c>
      <c r="M304" s="1075"/>
      <c r="O304" s="8"/>
      <c r="P304" s="8"/>
      <c r="Q304" s="8"/>
      <c r="R304" s="8"/>
      <c r="S304" s="8"/>
      <c r="U304" s="1084"/>
      <c r="V304" s="1084"/>
      <c r="W304" s="1084"/>
      <c r="X304" s="1084"/>
      <c r="Y304" s="1169"/>
      <c r="Z304" s="1169"/>
      <c r="AA304" s="1169"/>
      <c r="AB304" s="1170"/>
      <c r="AC304" s="1167"/>
      <c r="AD304" s="1167"/>
    </row>
    <row r="305" spans="2:30" ht="24" customHeight="1" thickBot="1" x14ac:dyDescent="0.25">
      <c r="B305" s="1078" t="s">
        <v>357</v>
      </c>
      <c r="C305" s="1078"/>
      <c r="D305" s="1076">
        <v>8.86</v>
      </c>
      <c r="E305" s="1076"/>
      <c r="F305" s="1076">
        <v>8.5</v>
      </c>
      <c r="G305" s="1076"/>
      <c r="H305" s="1070">
        <v>9.14</v>
      </c>
      <c r="I305" s="1070"/>
      <c r="J305" s="1070">
        <v>8.6999999999999993</v>
      </c>
      <c r="K305" s="1081"/>
      <c r="L305" s="1075">
        <v>8.89</v>
      </c>
      <c r="M305" s="1075"/>
      <c r="O305" s="8"/>
      <c r="P305" s="8"/>
      <c r="Q305" s="8"/>
      <c r="R305" s="8"/>
      <c r="S305" s="8"/>
      <c r="U305" s="1084"/>
      <c r="V305" s="1084"/>
      <c r="W305" s="1084"/>
      <c r="X305" s="1084"/>
      <c r="Y305" s="1169"/>
      <c r="Z305" s="1169"/>
      <c r="AA305" s="1169"/>
      <c r="AB305" s="1170"/>
      <c r="AC305" s="1167"/>
      <c r="AD305" s="1167"/>
    </row>
    <row r="306" spans="2:30" ht="24" customHeight="1" thickBot="1" x14ac:dyDescent="0.25">
      <c r="B306" s="1078" t="s">
        <v>617</v>
      </c>
      <c r="C306" s="1078"/>
      <c r="D306" s="1076">
        <v>8.9499999999999993</v>
      </c>
      <c r="E306" s="1076"/>
      <c r="F306" s="1076">
        <v>9.32</v>
      </c>
      <c r="G306" s="1076"/>
      <c r="H306" s="1070">
        <v>8.9499999999999993</v>
      </c>
      <c r="I306" s="1070"/>
      <c r="J306" s="1070">
        <v>9.11</v>
      </c>
      <c r="K306" s="1081"/>
      <c r="L306" s="1075">
        <v>9.2100000000000009</v>
      </c>
      <c r="M306" s="1075"/>
      <c r="O306" s="8"/>
      <c r="P306" s="8"/>
      <c r="Q306" s="8"/>
      <c r="R306" s="8"/>
      <c r="S306" s="8"/>
      <c r="U306" s="1084"/>
      <c r="V306" s="1084"/>
      <c r="W306" s="1084"/>
      <c r="X306" s="1084"/>
      <c r="Y306" s="1169"/>
      <c r="Z306" s="1169"/>
      <c r="AA306" s="1169"/>
      <c r="AB306" s="1170"/>
      <c r="AC306" s="1167"/>
      <c r="AD306" s="1167"/>
    </row>
    <row r="307" spans="2:30" ht="24.75" customHeight="1" thickBot="1" x14ac:dyDescent="0.25">
      <c r="B307" s="1078" t="s">
        <v>1140</v>
      </c>
      <c r="C307" s="1078"/>
      <c r="D307" s="1076">
        <v>8.4499999999999993</v>
      </c>
      <c r="E307" s="1076"/>
      <c r="F307" s="1076">
        <v>9.18</v>
      </c>
      <c r="G307" s="1076"/>
      <c r="H307" s="1070">
        <v>9.27</v>
      </c>
      <c r="I307" s="1070"/>
      <c r="J307" s="1070">
        <v>9.18</v>
      </c>
      <c r="K307" s="1081"/>
      <c r="L307" s="1075">
        <v>8.64</v>
      </c>
      <c r="M307" s="1075"/>
      <c r="O307" s="8"/>
      <c r="P307" s="8"/>
      <c r="Q307" s="8"/>
      <c r="R307" s="8"/>
      <c r="S307" s="8"/>
      <c r="U307" s="1084"/>
      <c r="V307" s="1084"/>
      <c r="W307" s="1084"/>
      <c r="X307" s="1084"/>
      <c r="Y307" s="1169"/>
      <c r="Z307" s="1169"/>
      <c r="AA307" s="1169"/>
      <c r="AB307" s="1170"/>
      <c r="AC307" s="1167"/>
      <c r="AD307" s="1167"/>
    </row>
    <row r="308" spans="2:30" ht="18.75" customHeight="1" thickBot="1" x14ac:dyDescent="0.25">
      <c r="B308" s="1078" t="s">
        <v>359</v>
      </c>
      <c r="C308" s="1078"/>
      <c r="D308" s="1076">
        <v>9.33</v>
      </c>
      <c r="E308" s="1076"/>
      <c r="F308" s="1076">
        <v>9.33</v>
      </c>
      <c r="G308" s="1076"/>
      <c r="H308" s="1070">
        <v>9.56</v>
      </c>
      <c r="I308" s="1070"/>
      <c r="J308" s="1070">
        <v>9.11</v>
      </c>
      <c r="K308" s="1081"/>
      <c r="L308" s="1075">
        <v>9.2200000000000006</v>
      </c>
      <c r="M308" s="1075"/>
      <c r="O308" s="8"/>
      <c r="P308" s="8"/>
      <c r="Q308" s="8"/>
      <c r="R308" s="8"/>
      <c r="S308" s="8"/>
      <c r="U308" s="1084"/>
      <c r="V308" s="1084"/>
      <c r="W308" s="1084"/>
      <c r="X308" s="1084"/>
      <c r="Y308" s="1169"/>
      <c r="Z308" s="1169"/>
      <c r="AA308" s="1169"/>
      <c r="AB308" s="1170"/>
      <c r="AC308" s="1167"/>
      <c r="AD308" s="1167"/>
    </row>
    <row r="309" spans="2:30" ht="18.75" customHeight="1" thickBot="1" x14ac:dyDescent="0.25">
      <c r="B309" s="1078" t="s">
        <v>367</v>
      </c>
      <c r="C309" s="1078"/>
      <c r="D309" s="1076">
        <v>9</v>
      </c>
      <c r="E309" s="1076"/>
      <c r="F309" s="1076">
        <v>9.25</v>
      </c>
      <c r="G309" s="1076"/>
      <c r="H309" s="1070">
        <v>9.25</v>
      </c>
      <c r="I309" s="1070"/>
      <c r="J309" s="1070">
        <v>9.25</v>
      </c>
      <c r="K309" s="1081"/>
      <c r="L309" s="1075">
        <v>9.25</v>
      </c>
      <c r="M309" s="1075"/>
      <c r="O309" s="8"/>
      <c r="P309" s="8"/>
      <c r="Q309" s="8"/>
      <c r="R309" s="8"/>
      <c r="S309" s="8"/>
      <c r="U309" s="1084"/>
      <c r="V309" s="1084"/>
      <c r="W309" s="1084"/>
      <c r="X309" s="1084"/>
      <c r="Y309" s="1169"/>
      <c r="Z309" s="1169"/>
      <c r="AA309" s="1169"/>
      <c r="AB309" s="1170"/>
      <c r="AC309" s="1167"/>
      <c r="AD309" s="1167"/>
    </row>
    <row r="310" spans="2:30" ht="18.75" customHeight="1" thickBot="1" x14ac:dyDescent="0.25">
      <c r="B310" s="1078" t="s">
        <v>622</v>
      </c>
      <c r="C310" s="1078"/>
      <c r="D310" s="1076">
        <v>8.33</v>
      </c>
      <c r="E310" s="1076"/>
      <c r="F310" s="1076">
        <v>8.33</v>
      </c>
      <c r="G310" s="1076"/>
      <c r="H310" s="1070">
        <v>8.33</v>
      </c>
      <c r="I310" s="1070"/>
      <c r="J310" s="1070">
        <v>8.33</v>
      </c>
      <c r="K310" s="1081"/>
      <c r="L310" s="1075">
        <v>8</v>
      </c>
      <c r="M310" s="1075"/>
      <c r="O310" s="8"/>
      <c r="P310" s="8"/>
      <c r="Q310" s="8"/>
      <c r="R310" s="8"/>
      <c r="S310" s="8"/>
      <c r="U310" s="1084"/>
      <c r="V310" s="1084"/>
      <c r="W310" s="1084"/>
      <c r="X310" s="1084"/>
      <c r="Y310" s="1169"/>
      <c r="Z310" s="1169"/>
      <c r="AA310" s="1169"/>
      <c r="AB310" s="1170"/>
      <c r="AC310" s="1167"/>
      <c r="AD310" s="1167"/>
    </row>
    <row r="311" spans="2:30" ht="18.75" customHeight="1" thickBot="1" x14ac:dyDescent="0.25">
      <c r="B311" s="1078" t="s">
        <v>370</v>
      </c>
      <c r="C311" s="1078"/>
      <c r="D311" s="1076">
        <v>9.5500000000000007</v>
      </c>
      <c r="E311" s="1076"/>
      <c r="F311" s="1076">
        <v>9.27</v>
      </c>
      <c r="G311" s="1076"/>
      <c r="H311" s="1070">
        <v>9.82</v>
      </c>
      <c r="I311" s="1070"/>
      <c r="J311" s="1070">
        <v>9.4499999999999993</v>
      </c>
      <c r="K311" s="1081"/>
      <c r="L311" s="1075">
        <v>9.4499999999999993</v>
      </c>
      <c r="M311" s="1075"/>
      <c r="O311" s="8"/>
      <c r="P311" s="8"/>
      <c r="Q311" s="8"/>
      <c r="R311" s="8"/>
      <c r="S311" s="8"/>
      <c r="U311" s="1084"/>
      <c r="V311" s="1084"/>
      <c r="W311" s="1084"/>
      <c r="X311" s="1084"/>
      <c r="Y311" s="1169"/>
      <c r="Z311" s="1169"/>
      <c r="AA311" s="1169"/>
      <c r="AB311" s="1170"/>
      <c r="AC311" s="1167"/>
      <c r="AD311" s="1167"/>
    </row>
    <row r="312" spans="2:30" ht="18.75" customHeight="1" thickBot="1" x14ac:dyDescent="0.25">
      <c r="B312" s="1078" t="s">
        <v>361</v>
      </c>
      <c r="C312" s="1078"/>
      <c r="D312" s="1076">
        <v>7.73</v>
      </c>
      <c r="E312" s="1076"/>
      <c r="F312" s="1076">
        <v>7.82</v>
      </c>
      <c r="G312" s="1076"/>
      <c r="H312" s="1070">
        <v>8.4499999999999993</v>
      </c>
      <c r="I312" s="1070"/>
      <c r="J312" s="1070">
        <v>8.09</v>
      </c>
      <c r="K312" s="1081"/>
      <c r="L312" s="1075">
        <v>8</v>
      </c>
      <c r="M312" s="1075"/>
      <c r="O312" s="8"/>
      <c r="P312" s="8"/>
      <c r="Q312" s="8"/>
      <c r="R312" s="8"/>
      <c r="S312" s="8"/>
      <c r="U312" s="1084"/>
      <c r="V312" s="1084"/>
      <c r="W312" s="1084"/>
      <c r="X312" s="1084"/>
      <c r="Y312" s="1169"/>
      <c r="Z312" s="1169"/>
      <c r="AA312" s="1169"/>
      <c r="AB312" s="1170"/>
      <c r="AC312" s="1167"/>
      <c r="AD312" s="1167"/>
    </row>
    <row r="313" spans="2:30" ht="24.75" customHeight="1" thickBot="1" x14ac:dyDescent="0.25">
      <c r="B313" s="1078" t="s">
        <v>374</v>
      </c>
      <c r="C313" s="1078"/>
      <c r="D313" s="1076">
        <v>9.5</v>
      </c>
      <c r="E313" s="1076"/>
      <c r="F313" s="1076">
        <v>9.5</v>
      </c>
      <c r="G313" s="1076"/>
      <c r="H313" s="1070">
        <v>10</v>
      </c>
      <c r="I313" s="1070"/>
      <c r="J313" s="1070">
        <v>9.5</v>
      </c>
      <c r="K313" s="1081"/>
      <c r="L313" s="1075">
        <v>9.5</v>
      </c>
      <c r="M313" s="1075"/>
      <c r="O313" s="8"/>
      <c r="P313" s="8"/>
      <c r="Q313" s="8"/>
      <c r="R313" s="8"/>
      <c r="S313" s="8"/>
      <c r="U313" s="1084"/>
      <c r="V313" s="1084"/>
      <c r="W313" s="1084"/>
      <c r="X313" s="1084"/>
      <c r="Y313" s="1169"/>
      <c r="Z313" s="1169"/>
      <c r="AA313" s="1169"/>
      <c r="AB313" s="1170"/>
      <c r="AC313" s="1167"/>
      <c r="AD313" s="1167"/>
    </row>
    <row r="314" spans="2:30" ht="18.75" customHeight="1" thickBot="1" x14ac:dyDescent="0.25">
      <c r="B314" s="1078" t="s">
        <v>621</v>
      </c>
      <c r="C314" s="1078"/>
      <c r="D314" s="1076">
        <v>8.67</v>
      </c>
      <c r="E314" s="1076"/>
      <c r="F314" s="1076">
        <v>8.67</v>
      </c>
      <c r="G314" s="1076"/>
      <c r="H314" s="1070">
        <v>8.67</v>
      </c>
      <c r="I314" s="1070"/>
      <c r="J314" s="1070">
        <v>8.67</v>
      </c>
      <c r="K314" s="1081"/>
      <c r="L314" s="1075">
        <v>8.33</v>
      </c>
      <c r="M314" s="1075"/>
      <c r="O314" s="8"/>
      <c r="P314" s="8"/>
      <c r="Q314" s="8"/>
      <c r="R314" s="8"/>
      <c r="S314" s="8"/>
      <c r="U314" s="1084"/>
      <c r="V314" s="1084"/>
      <c r="W314" s="1084"/>
      <c r="X314" s="1084"/>
      <c r="Y314" s="1169"/>
      <c r="Z314" s="1169"/>
      <c r="AA314" s="1169"/>
      <c r="AB314" s="1170"/>
      <c r="AC314" s="1167"/>
      <c r="AD314" s="1167"/>
    </row>
    <row r="315" spans="2:30" ht="34.5" customHeight="1" thickBot="1" x14ac:dyDescent="0.25">
      <c r="B315" s="1078" t="s">
        <v>620</v>
      </c>
      <c r="C315" s="1078"/>
      <c r="D315" s="1076">
        <v>10</v>
      </c>
      <c r="E315" s="1076"/>
      <c r="F315" s="1076">
        <v>10</v>
      </c>
      <c r="G315" s="1076"/>
      <c r="H315" s="1070">
        <v>10</v>
      </c>
      <c r="I315" s="1070"/>
      <c r="J315" s="1070">
        <v>10</v>
      </c>
      <c r="K315" s="1081"/>
      <c r="L315" s="1075">
        <v>10</v>
      </c>
      <c r="M315" s="1075"/>
      <c r="O315" s="8"/>
      <c r="P315" s="8"/>
      <c r="Q315" s="8"/>
      <c r="R315" s="8"/>
      <c r="S315" s="8"/>
      <c r="U315" s="1084"/>
      <c r="V315" s="1084"/>
      <c r="W315" s="1084"/>
      <c r="X315" s="1084"/>
      <c r="Y315" s="1169"/>
      <c r="Z315" s="1169"/>
      <c r="AA315" s="1169"/>
      <c r="AB315" s="1170"/>
      <c r="AC315" s="1167"/>
      <c r="AD315" s="1167"/>
    </row>
    <row r="316" spans="2:30" ht="18.75" customHeight="1" thickBot="1" x14ac:dyDescent="0.25">
      <c r="B316" s="1078" t="s">
        <v>619</v>
      </c>
      <c r="C316" s="1078"/>
      <c r="D316" s="1076">
        <v>6.36</v>
      </c>
      <c r="E316" s="1076"/>
      <c r="F316" s="1076">
        <v>6.36</v>
      </c>
      <c r="G316" s="1076"/>
      <c r="H316" s="1070">
        <v>7.18</v>
      </c>
      <c r="I316" s="1070"/>
      <c r="J316" s="1070">
        <v>6.64</v>
      </c>
      <c r="K316" s="1081"/>
      <c r="L316" s="1075">
        <v>6.55</v>
      </c>
      <c r="M316" s="1075"/>
      <c r="O316" s="8"/>
      <c r="P316" s="8"/>
      <c r="Q316" s="8"/>
      <c r="R316" s="8"/>
      <c r="S316" s="8"/>
      <c r="U316" s="1084"/>
      <c r="V316" s="1084"/>
      <c r="W316" s="1084"/>
      <c r="X316" s="1084"/>
      <c r="Y316" s="1169"/>
      <c r="Z316" s="1169"/>
      <c r="AA316" s="1169"/>
      <c r="AB316" s="1170"/>
      <c r="AC316" s="1167"/>
      <c r="AD316" s="1167"/>
    </row>
    <row r="317" spans="2:30" ht="18.75" customHeight="1" thickBot="1" x14ac:dyDescent="0.25">
      <c r="B317" s="1078" t="s">
        <v>376</v>
      </c>
      <c r="C317" s="1078"/>
      <c r="D317" s="1076">
        <v>9</v>
      </c>
      <c r="E317" s="1076"/>
      <c r="F317" s="1076">
        <v>9</v>
      </c>
      <c r="G317" s="1076"/>
      <c r="H317" s="1070">
        <v>10</v>
      </c>
      <c r="I317" s="1070"/>
      <c r="J317" s="1070">
        <v>10</v>
      </c>
      <c r="K317" s="1081"/>
      <c r="L317" s="1075">
        <v>10</v>
      </c>
      <c r="M317" s="1075"/>
      <c r="O317" s="8"/>
      <c r="P317" s="8"/>
      <c r="Q317" s="8"/>
      <c r="R317" s="8"/>
      <c r="S317" s="8"/>
      <c r="U317" s="1084"/>
      <c r="V317" s="1084"/>
      <c r="W317" s="1084"/>
      <c r="X317" s="1084"/>
      <c r="Y317" s="1169"/>
      <c r="Z317" s="1169"/>
      <c r="AA317" s="1169"/>
      <c r="AB317" s="1170"/>
      <c r="AC317" s="1167"/>
      <c r="AD317" s="1167"/>
    </row>
    <row r="318" spans="2:30" ht="25.5" customHeight="1" thickBot="1" x14ac:dyDescent="0.25">
      <c r="B318" s="1078" t="s">
        <v>368</v>
      </c>
      <c r="C318" s="1078"/>
      <c r="D318" s="1076">
        <v>8.09</v>
      </c>
      <c r="E318" s="1076"/>
      <c r="F318" s="1076">
        <v>8.73</v>
      </c>
      <c r="G318" s="1076"/>
      <c r="H318" s="1070">
        <v>8</v>
      </c>
      <c r="I318" s="1070"/>
      <c r="J318" s="1070">
        <v>8.73</v>
      </c>
      <c r="K318" s="1081"/>
      <c r="L318" s="1075">
        <v>8.09</v>
      </c>
      <c r="M318" s="1075"/>
      <c r="O318" s="8"/>
      <c r="P318" s="8"/>
      <c r="Q318" s="8"/>
      <c r="R318" s="8"/>
      <c r="S318" s="8"/>
      <c r="U318" s="1084"/>
      <c r="V318" s="1084"/>
      <c r="W318" s="1084"/>
      <c r="X318" s="1084"/>
      <c r="Y318" s="1169"/>
      <c r="Z318" s="1169"/>
      <c r="AA318" s="1169"/>
      <c r="AB318" s="1170"/>
      <c r="AC318" s="1167"/>
      <c r="AD318" s="1167"/>
    </row>
    <row r="319" spans="2:30" ht="18.75" customHeight="1" thickBot="1" x14ac:dyDescent="0.25">
      <c r="B319" s="1078" t="s">
        <v>618</v>
      </c>
      <c r="C319" s="1078"/>
      <c r="D319" s="1076">
        <v>8.2200000000000006</v>
      </c>
      <c r="E319" s="1076"/>
      <c r="F319" s="1076">
        <v>8.06</v>
      </c>
      <c r="G319" s="1076"/>
      <c r="H319" s="1070">
        <v>8.7799999999999994</v>
      </c>
      <c r="I319" s="1070"/>
      <c r="J319" s="1070">
        <v>8.5</v>
      </c>
      <c r="K319" s="1081"/>
      <c r="L319" s="1075">
        <v>8.2799999999999994</v>
      </c>
      <c r="M319" s="1075"/>
      <c r="O319" s="8"/>
      <c r="P319" s="8"/>
      <c r="Q319" s="8"/>
      <c r="R319" s="8"/>
      <c r="S319" s="8"/>
      <c r="U319" s="1084"/>
      <c r="V319" s="1084"/>
      <c r="W319" s="1084"/>
      <c r="X319" s="1084"/>
      <c r="Y319" s="1169"/>
      <c r="Z319" s="1169"/>
      <c r="AA319" s="1169"/>
      <c r="AB319" s="1170"/>
      <c r="AC319" s="1167"/>
      <c r="AD319" s="1167"/>
    </row>
    <row r="320" spans="2:30" ht="18.75" customHeight="1" thickBot="1" x14ac:dyDescent="0.25">
      <c r="B320" s="1128" t="s">
        <v>372</v>
      </c>
      <c r="C320" s="1128"/>
      <c r="D320" s="1073">
        <v>9.5</v>
      </c>
      <c r="E320" s="1073"/>
      <c r="F320" s="1073">
        <v>9.5</v>
      </c>
      <c r="G320" s="1073"/>
      <c r="H320" s="1070">
        <v>9.5</v>
      </c>
      <c r="I320" s="1070"/>
      <c r="J320" s="1070">
        <v>9.5</v>
      </c>
      <c r="K320" s="1081"/>
      <c r="L320" s="1071">
        <v>9.5</v>
      </c>
      <c r="M320" s="1071"/>
      <c r="O320" s="8"/>
      <c r="P320" s="8"/>
      <c r="Q320" s="8"/>
      <c r="R320" s="8"/>
      <c r="S320" s="8"/>
      <c r="U320" s="1084"/>
      <c r="V320" s="1084"/>
      <c r="W320" s="1084"/>
      <c r="X320" s="1084"/>
      <c r="Y320" s="1169"/>
      <c r="Z320" s="1169"/>
      <c r="AA320" s="1169"/>
      <c r="AB320" s="1170"/>
      <c r="AC320" s="1167"/>
      <c r="AD320" s="1167"/>
    </row>
    <row r="321" spans="2:30" s="2" customFormat="1" ht="23.25" customHeight="1" thickBot="1" x14ac:dyDescent="0.25">
      <c r="B321" s="1128" t="s">
        <v>1446</v>
      </c>
      <c r="C321" s="1128"/>
      <c r="D321" s="1073">
        <v>7.69</v>
      </c>
      <c r="E321" s="1073"/>
      <c r="F321" s="1073">
        <v>6.77</v>
      </c>
      <c r="G321" s="1073"/>
      <c r="H321" s="1070">
        <v>7.77</v>
      </c>
      <c r="I321" s="1070"/>
      <c r="J321" s="1070">
        <v>6.92</v>
      </c>
      <c r="K321" s="1070"/>
      <c r="L321" s="1071">
        <v>6.69</v>
      </c>
      <c r="M321" s="1071"/>
      <c r="O321" s="700"/>
      <c r="P321" s="700"/>
      <c r="Q321" s="700"/>
      <c r="R321" s="700"/>
      <c r="S321" s="700"/>
      <c r="U321" s="701"/>
      <c r="V321" s="701"/>
      <c r="W321" s="701"/>
      <c r="X321" s="701"/>
      <c r="Y321" s="702"/>
      <c r="Z321" s="702"/>
      <c r="AA321" s="702"/>
      <c r="AB321" s="703"/>
      <c r="AC321" s="708"/>
      <c r="AD321" s="708"/>
    </row>
    <row r="322" spans="2:30" ht="25.5" customHeight="1" thickBot="1" x14ac:dyDescent="0.25">
      <c r="B322" s="1078" t="s">
        <v>626</v>
      </c>
      <c r="C322" s="1078"/>
      <c r="D322" s="1076">
        <v>6</v>
      </c>
      <c r="E322" s="1076"/>
      <c r="F322" s="1076">
        <v>8</v>
      </c>
      <c r="G322" s="1076"/>
      <c r="H322" s="1070">
        <v>7.33</v>
      </c>
      <c r="I322" s="1070"/>
      <c r="J322" s="1070">
        <v>5.67</v>
      </c>
      <c r="K322" s="1081"/>
      <c r="L322" s="1075">
        <v>6.67</v>
      </c>
      <c r="M322" s="1075"/>
      <c r="O322" s="8"/>
      <c r="P322" s="8"/>
      <c r="Q322" s="8"/>
      <c r="R322" s="8"/>
      <c r="S322" s="8"/>
      <c r="U322" s="1084"/>
      <c r="V322" s="1084"/>
      <c r="W322" s="1084"/>
      <c r="X322" s="1084"/>
      <c r="Y322" s="1169"/>
      <c r="Z322" s="1169"/>
      <c r="AA322" s="1169"/>
      <c r="AB322" s="1170"/>
      <c r="AC322" s="1167"/>
      <c r="AD322" s="1167"/>
    </row>
    <row r="323" spans="2:30" ht="18.75" customHeight="1" thickBot="1" x14ac:dyDescent="0.25">
      <c r="B323" s="1078" t="s">
        <v>383</v>
      </c>
      <c r="C323" s="1078"/>
      <c r="D323" s="1076">
        <v>6</v>
      </c>
      <c r="E323" s="1076"/>
      <c r="F323" s="1076">
        <v>7</v>
      </c>
      <c r="G323" s="1076"/>
      <c r="H323" s="1070">
        <v>7.38</v>
      </c>
      <c r="I323" s="1070"/>
      <c r="J323" s="1070">
        <v>4</v>
      </c>
      <c r="K323" s="1081"/>
      <c r="L323" s="1075">
        <v>5.38</v>
      </c>
      <c r="M323" s="1075"/>
      <c r="O323" s="8"/>
      <c r="P323" s="8"/>
      <c r="Q323" s="8"/>
      <c r="R323" s="8"/>
      <c r="S323" s="8"/>
      <c r="U323" s="1084"/>
      <c r="V323" s="1084"/>
      <c r="W323" s="1084"/>
      <c r="X323" s="1084"/>
      <c r="Y323" s="1169"/>
      <c r="Z323" s="1169"/>
      <c r="AA323" s="1169"/>
      <c r="AB323" s="1170"/>
      <c r="AC323" s="1167"/>
      <c r="AD323" s="1167"/>
    </row>
    <row r="324" spans="2:30" ht="24.75" customHeight="1" thickBot="1" x14ac:dyDescent="0.25">
      <c r="B324" s="1078" t="s">
        <v>377</v>
      </c>
      <c r="C324" s="1078"/>
      <c r="D324" s="1076">
        <v>7.25</v>
      </c>
      <c r="E324" s="1076"/>
      <c r="F324" s="1076">
        <v>9.3800000000000008</v>
      </c>
      <c r="G324" s="1076"/>
      <c r="H324" s="1070">
        <v>9.3800000000000008</v>
      </c>
      <c r="I324" s="1070"/>
      <c r="J324" s="1077">
        <v>7.88</v>
      </c>
      <c r="K324" s="1092"/>
      <c r="L324" s="1075">
        <v>7.75</v>
      </c>
      <c r="M324" s="1075"/>
      <c r="O324" s="8"/>
      <c r="P324" s="8"/>
      <c r="Q324" s="8"/>
      <c r="R324" s="8"/>
      <c r="S324" s="8"/>
      <c r="U324" s="1084"/>
      <c r="V324" s="1084"/>
      <c r="W324" s="1084"/>
      <c r="X324" s="1084"/>
      <c r="Y324" s="1169"/>
      <c r="Z324" s="1169"/>
      <c r="AA324" s="1169"/>
      <c r="AB324" s="1170"/>
      <c r="AC324" s="1167"/>
      <c r="AD324" s="1167"/>
    </row>
    <row r="325" spans="2:30" ht="18.75" customHeight="1" thickBot="1" x14ac:dyDescent="0.25">
      <c r="B325" s="1078" t="s">
        <v>1142</v>
      </c>
      <c r="C325" s="1078"/>
      <c r="D325" s="1076">
        <v>8.42</v>
      </c>
      <c r="E325" s="1076"/>
      <c r="F325" s="1076">
        <v>7.68</v>
      </c>
      <c r="G325" s="1076"/>
      <c r="H325" s="1070">
        <v>8.26</v>
      </c>
      <c r="I325" s="1070"/>
      <c r="J325" s="1070">
        <v>7.79</v>
      </c>
      <c r="K325" s="1081"/>
      <c r="L325" s="1075">
        <v>8.32</v>
      </c>
      <c r="M325" s="1075"/>
      <c r="O325" s="8"/>
      <c r="P325" s="8"/>
      <c r="Q325" s="8"/>
      <c r="R325" s="8"/>
      <c r="S325" s="8"/>
      <c r="U325" s="1084"/>
      <c r="V325" s="1084"/>
      <c r="W325" s="1084"/>
      <c r="X325" s="1084"/>
      <c r="Y325" s="1169"/>
      <c r="Z325" s="1169"/>
      <c r="AA325" s="1169"/>
      <c r="AB325" s="1170"/>
      <c r="AC325" s="1167"/>
      <c r="AD325" s="1167"/>
    </row>
    <row r="326" spans="2:30" ht="25.5" customHeight="1" thickBot="1" x14ac:dyDescent="0.25">
      <c r="B326" s="1078" t="s">
        <v>385</v>
      </c>
      <c r="C326" s="1078"/>
      <c r="D326" s="1076">
        <v>7.75</v>
      </c>
      <c r="E326" s="1076"/>
      <c r="F326" s="1076">
        <v>7.75</v>
      </c>
      <c r="G326" s="1076"/>
      <c r="H326" s="1070">
        <v>8.75</v>
      </c>
      <c r="I326" s="1070"/>
      <c r="J326" s="1070">
        <v>8.75</v>
      </c>
      <c r="K326" s="1081"/>
      <c r="L326" s="1075">
        <v>8.75</v>
      </c>
      <c r="M326" s="1075"/>
      <c r="O326" s="8"/>
      <c r="P326" s="8"/>
      <c r="Q326" s="8"/>
      <c r="R326" s="8"/>
      <c r="S326" s="8"/>
      <c r="U326" s="1084"/>
      <c r="V326" s="1084"/>
      <c r="W326" s="1084"/>
      <c r="X326" s="1084"/>
      <c r="Y326" s="1169"/>
      <c r="Z326" s="1169"/>
      <c r="AA326" s="1169"/>
      <c r="AB326" s="1170"/>
      <c r="AC326" s="1167"/>
      <c r="AD326" s="1167"/>
    </row>
    <row r="327" spans="2:30" ht="16" thickBot="1" x14ac:dyDescent="0.25">
      <c r="B327" s="1078" t="s">
        <v>379</v>
      </c>
      <c r="C327" s="1078"/>
      <c r="D327" s="1076">
        <v>8.25</v>
      </c>
      <c r="E327" s="1076"/>
      <c r="F327" s="1076">
        <v>7.75</v>
      </c>
      <c r="G327" s="1076"/>
      <c r="H327" s="1070">
        <v>5.75</v>
      </c>
      <c r="I327" s="1070"/>
      <c r="J327" s="1070">
        <v>7.25</v>
      </c>
      <c r="K327" s="1081"/>
      <c r="L327" s="1075">
        <v>7.75</v>
      </c>
      <c r="M327" s="1075"/>
      <c r="O327" s="8"/>
      <c r="P327" s="8"/>
      <c r="Q327" s="8"/>
      <c r="R327" s="8"/>
      <c r="S327" s="8"/>
      <c r="U327" s="1084"/>
      <c r="V327" s="1084"/>
      <c r="W327" s="1084"/>
      <c r="X327" s="1084"/>
      <c r="Y327" s="1169"/>
      <c r="Z327" s="1169"/>
      <c r="AA327" s="1169"/>
      <c r="AB327" s="1170"/>
      <c r="AC327" s="1167"/>
      <c r="AD327" s="1167"/>
    </row>
    <row r="328" spans="2:30" ht="33.75" customHeight="1" thickBot="1" x14ac:dyDescent="0.25">
      <c r="B328" s="1078" t="s">
        <v>623</v>
      </c>
      <c r="C328" s="1078"/>
      <c r="D328" s="1076">
        <v>9.5500000000000007</v>
      </c>
      <c r="E328" s="1076"/>
      <c r="F328" s="1076">
        <v>9.82</v>
      </c>
      <c r="G328" s="1076"/>
      <c r="H328" s="1070">
        <v>9.91</v>
      </c>
      <c r="I328" s="1070"/>
      <c r="J328" s="1070">
        <v>9.73</v>
      </c>
      <c r="K328" s="1081"/>
      <c r="L328" s="1075">
        <v>9.64</v>
      </c>
      <c r="M328" s="1075"/>
      <c r="O328" s="8"/>
      <c r="P328" s="8"/>
      <c r="Q328" s="8"/>
      <c r="R328" s="8"/>
      <c r="S328" s="8"/>
      <c r="U328" s="1084"/>
      <c r="V328" s="1084"/>
      <c r="W328" s="1084"/>
      <c r="X328" s="1084"/>
      <c r="Y328" s="1169"/>
      <c r="Z328" s="1169"/>
      <c r="AA328" s="1169"/>
      <c r="AB328" s="1170"/>
      <c r="AC328" s="1167"/>
      <c r="AD328" s="1167"/>
    </row>
    <row r="329" spans="2:30" ht="33.75" customHeight="1" thickBot="1" x14ac:dyDescent="0.25">
      <c r="B329" s="1078" t="s">
        <v>1447</v>
      </c>
      <c r="C329" s="1078"/>
      <c r="D329" s="1073">
        <v>9.5</v>
      </c>
      <c r="E329" s="1073"/>
      <c r="F329" s="1073">
        <v>9.33</v>
      </c>
      <c r="G329" s="1073"/>
      <c r="H329" s="1070">
        <v>9.33</v>
      </c>
      <c r="I329" s="1070"/>
      <c r="J329" s="1070">
        <v>9.33</v>
      </c>
      <c r="K329" s="1070"/>
      <c r="L329" s="1071">
        <v>9.17</v>
      </c>
      <c r="M329" s="1071"/>
      <c r="O329" s="8"/>
      <c r="P329" s="8"/>
      <c r="Q329" s="8"/>
      <c r="R329" s="8"/>
      <c r="S329" s="8"/>
      <c r="U329" s="239"/>
      <c r="V329" s="239"/>
      <c r="W329" s="239"/>
      <c r="X329" s="239"/>
      <c r="Y329" s="704"/>
      <c r="Z329" s="704"/>
      <c r="AA329" s="704"/>
      <c r="AB329" s="705"/>
      <c r="AC329" s="707"/>
      <c r="AD329" s="707"/>
    </row>
    <row r="330" spans="2:30" ht="18.75" customHeight="1" thickBot="1" x14ac:dyDescent="0.25">
      <c r="B330" s="1078" t="s">
        <v>392</v>
      </c>
      <c r="C330" s="1078"/>
      <c r="D330" s="1076">
        <v>8.8000000000000007</v>
      </c>
      <c r="E330" s="1076"/>
      <c r="F330" s="1076">
        <v>9.4</v>
      </c>
      <c r="G330" s="1076"/>
      <c r="H330" s="1070">
        <v>9.4</v>
      </c>
      <c r="I330" s="1070"/>
      <c r="J330" s="1070">
        <v>8.6</v>
      </c>
      <c r="K330" s="1081"/>
      <c r="L330" s="1075">
        <v>8.8000000000000007</v>
      </c>
      <c r="M330" s="1075"/>
      <c r="O330" s="8"/>
      <c r="P330" s="8"/>
      <c r="Q330" s="8"/>
      <c r="R330" s="8"/>
      <c r="S330" s="8"/>
      <c r="U330" s="1084"/>
      <c r="V330" s="1084"/>
      <c r="W330" s="1084"/>
      <c r="X330" s="1084"/>
      <c r="Y330" s="1169"/>
      <c r="Z330" s="1169"/>
      <c r="AA330" s="1169"/>
      <c r="AB330" s="1170"/>
      <c r="AC330" s="1167"/>
      <c r="AD330" s="1167"/>
    </row>
    <row r="331" spans="2:30" ht="18.75" customHeight="1" thickBot="1" x14ac:dyDescent="0.25">
      <c r="B331" s="1078" t="s">
        <v>625</v>
      </c>
      <c r="C331" s="1078"/>
      <c r="D331" s="1076">
        <v>9.25</v>
      </c>
      <c r="E331" s="1076"/>
      <c r="F331" s="1076">
        <v>9.5</v>
      </c>
      <c r="G331" s="1076"/>
      <c r="H331" s="1070">
        <v>9.5</v>
      </c>
      <c r="I331" s="1070"/>
      <c r="J331" s="1070">
        <v>9</v>
      </c>
      <c r="K331" s="1081"/>
      <c r="L331" s="1075">
        <v>9.25</v>
      </c>
      <c r="M331" s="1075"/>
      <c r="O331" s="8"/>
      <c r="P331" s="8"/>
      <c r="Q331" s="8"/>
      <c r="R331" s="8"/>
      <c r="S331" s="8"/>
      <c r="U331" s="1084"/>
      <c r="V331" s="1084"/>
      <c r="W331" s="1084"/>
      <c r="X331" s="1084"/>
      <c r="Y331" s="1169"/>
      <c r="Z331" s="1169"/>
      <c r="AA331" s="1169"/>
      <c r="AB331" s="1170"/>
      <c r="AC331" s="1167"/>
      <c r="AD331" s="1167"/>
    </row>
    <row r="332" spans="2:30" ht="18.75" customHeight="1" thickBot="1" x14ac:dyDescent="0.25">
      <c r="B332" s="1078" t="s">
        <v>388</v>
      </c>
      <c r="C332" s="1078"/>
      <c r="D332" s="1076">
        <v>10</v>
      </c>
      <c r="E332" s="1076"/>
      <c r="F332" s="1076">
        <v>10</v>
      </c>
      <c r="G332" s="1076"/>
      <c r="H332" s="1070">
        <v>10</v>
      </c>
      <c r="I332" s="1070"/>
      <c r="J332" s="1070">
        <v>10</v>
      </c>
      <c r="K332" s="1081"/>
      <c r="L332" s="1075">
        <v>10</v>
      </c>
      <c r="M332" s="1075"/>
      <c r="O332" s="8"/>
      <c r="P332" s="8"/>
      <c r="Q332" s="8"/>
      <c r="R332" s="8"/>
      <c r="S332" s="8"/>
      <c r="U332" s="1084"/>
      <c r="V332" s="1084"/>
      <c r="W332" s="1084"/>
      <c r="X332" s="1084"/>
      <c r="Y332" s="1169"/>
      <c r="Z332" s="1169"/>
      <c r="AA332" s="1169"/>
      <c r="AB332" s="1170"/>
      <c r="AC332" s="1167"/>
      <c r="AD332" s="1167"/>
    </row>
    <row r="333" spans="2:30" ht="16" thickBot="1" x14ac:dyDescent="0.25">
      <c r="B333" s="1078" t="s">
        <v>382</v>
      </c>
      <c r="C333" s="1078"/>
      <c r="D333" s="1076">
        <v>5.5</v>
      </c>
      <c r="E333" s="1076"/>
      <c r="F333" s="1076">
        <v>4.5</v>
      </c>
      <c r="G333" s="1076"/>
      <c r="H333" s="1070">
        <v>4.83</v>
      </c>
      <c r="I333" s="1070"/>
      <c r="J333" s="1070">
        <v>5.67</v>
      </c>
      <c r="K333" s="1081"/>
      <c r="L333" s="1075">
        <v>4</v>
      </c>
      <c r="M333" s="1075"/>
      <c r="O333" s="8"/>
      <c r="P333" s="8"/>
      <c r="Q333" s="8"/>
      <c r="R333" s="8"/>
      <c r="S333" s="8"/>
      <c r="U333" s="1084"/>
      <c r="V333" s="1084"/>
      <c r="W333" s="1084"/>
      <c r="X333" s="1084"/>
      <c r="Y333" s="1169"/>
      <c r="Z333" s="1169"/>
      <c r="AA333" s="1169"/>
      <c r="AB333" s="1170"/>
      <c r="AC333" s="1167"/>
      <c r="AD333" s="1167"/>
    </row>
    <row r="334" spans="2:30" ht="24" customHeight="1" thickBot="1" x14ac:dyDescent="0.25">
      <c r="B334" s="1078" t="s">
        <v>624</v>
      </c>
      <c r="C334" s="1078"/>
      <c r="D334" s="1076">
        <v>8.1999999999999993</v>
      </c>
      <c r="E334" s="1076"/>
      <c r="F334" s="1076">
        <v>9</v>
      </c>
      <c r="G334" s="1076"/>
      <c r="H334" s="1070">
        <v>9.6</v>
      </c>
      <c r="I334" s="1070"/>
      <c r="J334" s="1070">
        <v>8.6</v>
      </c>
      <c r="K334" s="1081"/>
      <c r="L334" s="1075">
        <v>9</v>
      </c>
      <c r="M334" s="1075"/>
      <c r="O334" s="8"/>
      <c r="P334" s="8"/>
      <c r="Q334" s="8"/>
      <c r="R334" s="8"/>
      <c r="S334" s="8"/>
      <c r="U334" s="1084"/>
      <c r="V334" s="1084"/>
      <c r="W334" s="1084"/>
      <c r="X334" s="1084"/>
      <c r="Y334" s="1169"/>
      <c r="Z334" s="1169"/>
      <c r="AA334" s="1169"/>
      <c r="AB334" s="1170"/>
      <c r="AC334" s="1167"/>
      <c r="AD334" s="1167"/>
    </row>
    <row r="335" spans="2:30" ht="18.75" customHeight="1" thickBot="1" x14ac:dyDescent="0.25">
      <c r="B335" s="1078" t="s">
        <v>1141</v>
      </c>
      <c r="C335" s="1078"/>
      <c r="D335" s="1076">
        <v>8.8000000000000007</v>
      </c>
      <c r="E335" s="1076"/>
      <c r="F335" s="1076">
        <v>9.1999999999999993</v>
      </c>
      <c r="G335" s="1076"/>
      <c r="H335" s="1070">
        <v>8.9</v>
      </c>
      <c r="I335" s="1070"/>
      <c r="J335" s="1070">
        <v>8.9</v>
      </c>
      <c r="K335" s="1081"/>
      <c r="L335" s="1075">
        <v>8.6</v>
      </c>
      <c r="M335" s="1075"/>
      <c r="O335" s="8"/>
      <c r="P335" s="8"/>
      <c r="Q335" s="8"/>
      <c r="R335" s="8"/>
      <c r="S335" s="8"/>
      <c r="U335" s="1084"/>
      <c r="V335" s="1084"/>
      <c r="W335" s="1084"/>
      <c r="X335" s="1084"/>
      <c r="Y335" s="1169"/>
      <c r="Z335" s="1169"/>
      <c r="AA335" s="1169"/>
      <c r="AB335" s="1170"/>
      <c r="AC335" s="1167"/>
      <c r="AD335" s="1167"/>
    </row>
    <row r="336" spans="2:30" ht="18.75" customHeight="1" thickBot="1" x14ac:dyDescent="0.25">
      <c r="B336" s="1078" t="s">
        <v>405</v>
      </c>
      <c r="C336" s="1078"/>
      <c r="D336" s="1076">
        <v>9.25</v>
      </c>
      <c r="E336" s="1076"/>
      <c r="F336" s="1076">
        <v>9</v>
      </c>
      <c r="G336" s="1076"/>
      <c r="H336" s="1070">
        <v>10</v>
      </c>
      <c r="I336" s="1070"/>
      <c r="J336" s="1070">
        <v>9</v>
      </c>
      <c r="K336" s="1081"/>
      <c r="L336" s="1075">
        <v>9.25</v>
      </c>
      <c r="M336" s="1075"/>
      <c r="O336" s="8"/>
      <c r="P336" s="8"/>
      <c r="Q336" s="8"/>
      <c r="R336" s="8"/>
      <c r="S336" s="8"/>
      <c r="U336" s="1084"/>
      <c r="V336" s="1084"/>
      <c r="W336" s="1084"/>
      <c r="X336" s="1084"/>
      <c r="Y336" s="1169"/>
      <c r="Z336" s="1169"/>
      <c r="AA336" s="1169"/>
      <c r="AB336" s="1170"/>
      <c r="AC336" s="1167"/>
      <c r="AD336" s="1167"/>
    </row>
    <row r="337" spans="2:30" ht="18.75" customHeight="1" thickBot="1" x14ac:dyDescent="0.25">
      <c r="B337" s="1078" t="s">
        <v>1143</v>
      </c>
      <c r="C337" s="1078"/>
      <c r="D337" s="1076">
        <v>8</v>
      </c>
      <c r="E337" s="1076"/>
      <c r="F337" s="1076">
        <v>6.75</v>
      </c>
      <c r="G337" s="1076"/>
      <c r="H337" s="1070">
        <v>8.5</v>
      </c>
      <c r="I337" s="1070"/>
      <c r="J337" s="1070">
        <v>4.75</v>
      </c>
      <c r="K337" s="1081"/>
      <c r="L337" s="1075">
        <v>6.25</v>
      </c>
      <c r="M337" s="1075"/>
      <c r="O337" s="8"/>
      <c r="P337" s="8"/>
      <c r="Q337" s="8"/>
      <c r="R337" s="8"/>
      <c r="S337" s="8"/>
      <c r="U337" s="1084"/>
      <c r="V337" s="1084"/>
      <c r="W337" s="1084"/>
      <c r="X337" s="1084"/>
      <c r="Y337" s="1169"/>
      <c r="Z337" s="1169"/>
      <c r="AA337" s="1169"/>
      <c r="AB337" s="1170"/>
      <c r="AC337" s="1167"/>
      <c r="AD337" s="1167"/>
    </row>
    <row r="338" spans="2:30" ht="18.75" customHeight="1" thickBot="1" x14ac:dyDescent="0.25">
      <c r="B338" s="1078" t="s">
        <v>633</v>
      </c>
      <c r="C338" s="1078"/>
      <c r="D338" s="1076">
        <v>9.7100000000000009</v>
      </c>
      <c r="E338" s="1076"/>
      <c r="F338" s="1076">
        <v>9.57</v>
      </c>
      <c r="G338" s="1076"/>
      <c r="H338" s="1070">
        <v>9.57</v>
      </c>
      <c r="I338" s="1070"/>
      <c r="J338" s="1070">
        <v>9.43</v>
      </c>
      <c r="K338" s="1081"/>
      <c r="L338" s="1075">
        <v>9.43</v>
      </c>
      <c r="M338" s="1075"/>
      <c r="O338" s="8"/>
      <c r="P338" s="8"/>
      <c r="Q338" s="8"/>
      <c r="R338" s="8"/>
      <c r="S338" s="8"/>
      <c r="U338" s="1084"/>
      <c r="V338" s="1084"/>
      <c r="W338" s="1084"/>
      <c r="X338" s="1084"/>
      <c r="Y338" s="1169"/>
      <c r="Z338" s="1169"/>
      <c r="AA338" s="1169"/>
      <c r="AB338" s="1170"/>
      <c r="AC338" s="1167"/>
      <c r="AD338" s="1167"/>
    </row>
    <row r="339" spans="2:30" ht="18.75" customHeight="1" thickBot="1" x14ac:dyDescent="0.25">
      <c r="B339" s="1078" t="s">
        <v>634</v>
      </c>
      <c r="C339" s="1078"/>
      <c r="D339" s="1076">
        <v>8.32</v>
      </c>
      <c r="E339" s="1076"/>
      <c r="F339" s="1076">
        <v>8.6300000000000008</v>
      </c>
      <c r="G339" s="1076"/>
      <c r="H339" s="1070">
        <v>8</v>
      </c>
      <c r="I339" s="1070"/>
      <c r="J339" s="1070">
        <v>7.89</v>
      </c>
      <c r="K339" s="1081"/>
      <c r="L339" s="1075">
        <v>7.95</v>
      </c>
      <c r="M339" s="1075"/>
      <c r="O339" s="8"/>
      <c r="P339" s="8"/>
      <c r="Q339" s="8"/>
      <c r="R339" s="8"/>
      <c r="S339" s="8"/>
      <c r="U339" s="1084"/>
      <c r="V339" s="1084"/>
      <c r="W339" s="1084"/>
      <c r="X339" s="1084"/>
      <c r="Y339" s="1169"/>
      <c r="Z339" s="1169"/>
      <c r="AA339" s="1169"/>
      <c r="AB339" s="1170"/>
      <c r="AC339" s="1167"/>
      <c r="AD339" s="1167"/>
    </row>
    <row r="340" spans="2:30" ht="24.75" customHeight="1" thickBot="1" x14ac:dyDescent="0.25">
      <c r="B340" s="1078" t="s">
        <v>920</v>
      </c>
      <c r="C340" s="1078"/>
      <c r="D340" s="1076">
        <v>8.3000000000000007</v>
      </c>
      <c r="E340" s="1076"/>
      <c r="F340" s="1076">
        <v>8.6999999999999993</v>
      </c>
      <c r="G340" s="1076"/>
      <c r="H340" s="1070">
        <v>9.1</v>
      </c>
      <c r="I340" s="1070"/>
      <c r="J340" s="1070">
        <v>9</v>
      </c>
      <c r="K340" s="1081"/>
      <c r="L340" s="1075">
        <v>8.8000000000000007</v>
      </c>
      <c r="M340" s="1075"/>
      <c r="O340" s="8"/>
      <c r="P340" s="8"/>
      <c r="Q340" s="8"/>
      <c r="R340" s="8"/>
      <c r="S340" s="8"/>
      <c r="U340" s="1084"/>
      <c r="V340" s="1084"/>
      <c r="W340" s="1084"/>
      <c r="X340" s="1084"/>
      <c r="Y340" s="1169"/>
      <c r="Z340" s="1169"/>
      <c r="AA340" s="1169"/>
      <c r="AB340" s="1170"/>
      <c r="AC340" s="1167"/>
      <c r="AD340" s="1167"/>
    </row>
    <row r="341" spans="2:30" ht="36" customHeight="1" thickBot="1" x14ac:dyDescent="0.25">
      <c r="B341" s="1078" t="s">
        <v>630</v>
      </c>
      <c r="C341" s="1078"/>
      <c r="D341" s="1076">
        <v>9.33</v>
      </c>
      <c r="E341" s="1076"/>
      <c r="F341" s="1076">
        <v>9.33</v>
      </c>
      <c r="G341" s="1076"/>
      <c r="H341" s="1070">
        <v>9.33</v>
      </c>
      <c r="I341" s="1070"/>
      <c r="J341" s="1070">
        <v>9.42</v>
      </c>
      <c r="K341" s="1081"/>
      <c r="L341" s="1075">
        <v>9.25</v>
      </c>
      <c r="M341" s="1075"/>
      <c r="O341" s="8"/>
      <c r="P341" s="8"/>
      <c r="Q341" s="8"/>
      <c r="R341" s="8"/>
      <c r="S341" s="8"/>
      <c r="U341" s="1084"/>
      <c r="V341" s="1084"/>
      <c r="W341" s="1084"/>
      <c r="X341" s="1084"/>
      <c r="Y341" s="1169"/>
      <c r="Z341" s="1169"/>
      <c r="AA341" s="1169"/>
      <c r="AB341" s="1170"/>
      <c r="AC341" s="1167"/>
      <c r="AD341" s="1167"/>
    </row>
    <row r="342" spans="2:30" ht="18.75" customHeight="1" thickBot="1" x14ac:dyDescent="0.25">
      <c r="B342" s="1078" t="s">
        <v>631</v>
      </c>
      <c r="C342" s="1078"/>
      <c r="D342" s="1076">
        <v>9.27</v>
      </c>
      <c r="E342" s="1076"/>
      <c r="F342" s="1076">
        <v>9.4</v>
      </c>
      <c r="G342" s="1076"/>
      <c r="H342" s="1070">
        <v>9.4700000000000006</v>
      </c>
      <c r="I342" s="1070"/>
      <c r="J342" s="1070">
        <v>9.1999999999999993</v>
      </c>
      <c r="K342" s="1081"/>
      <c r="L342" s="1075">
        <v>9.1999999999999993</v>
      </c>
      <c r="M342" s="1075"/>
      <c r="O342" s="8"/>
      <c r="P342" s="8"/>
      <c r="Q342" s="8"/>
      <c r="R342" s="8"/>
      <c r="S342" s="8"/>
      <c r="U342" s="1084"/>
      <c r="V342" s="1084"/>
      <c r="W342" s="1084"/>
      <c r="X342" s="1084"/>
      <c r="Y342" s="1169"/>
      <c r="Z342" s="1169"/>
      <c r="AA342" s="1169"/>
      <c r="AB342" s="1170"/>
      <c r="AC342" s="1167"/>
      <c r="AD342" s="1167"/>
    </row>
    <row r="343" spans="2:30" ht="18.75" customHeight="1" thickBot="1" x14ac:dyDescent="0.25">
      <c r="B343" s="1078" t="s">
        <v>627</v>
      </c>
      <c r="C343" s="1078"/>
      <c r="D343" s="1091" t="s">
        <v>963</v>
      </c>
      <c r="E343" s="1076"/>
      <c r="F343" s="1091" t="s">
        <v>963</v>
      </c>
      <c r="G343" s="1076"/>
      <c r="H343" s="1091" t="s">
        <v>963</v>
      </c>
      <c r="I343" s="1076"/>
      <c r="J343" s="1091" t="s">
        <v>963</v>
      </c>
      <c r="K343" s="1076"/>
      <c r="L343" s="1091" t="s">
        <v>963</v>
      </c>
      <c r="M343" s="1076"/>
      <c r="O343" s="8"/>
      <c r="P343" s="8"/>
      <c r="Q343" s="8"/>
      <c r="R343" s="8"/>
      <c r="S343" s="8"/>
      <c r="U343" s="1084"/>
      <c r="V343" s="1084"/>
      <c r="W343" s="1084"/>
      <c r="X343" s="1084"/>
      <c r="Y343" s="1084"/>
      <c r="Z343" s="1084"/>
      <c r="AA343" s="1084"/>
      <c r="AB343" s="1084"/>
      <c r="AC343" s="1167"/>
      <c r="AD343" s="1167"/>
    </row>
    <row r="344" spans="2:30" ht="24.75" customHeight="1" thickBot="1" x14ac:dyDescent="0.25">
      <c r="B344" s="1078" t="s">
        <v>632</v>
      </c>
      <c r="C344" s="1078"/>
      <c r="D344" s="1076">
        <v>7.6</v>
      </c>
      <c r="E344" s="1076"/>
      <c r="F344" s="1076">
        <v>7.9</v>
      </c>
      <c r="G344" s="1076"/>
      <c r="H344" s="1076">
        <v>8.4</v>
      </c>
      <c r="I344" s="1076"/>
      <c r="J344" s="1076">
        <v>7.6</v>
      </c>
      <c r="K344" s="1076"/>
      <c r="L344" s="1075">
        <v>7.8</v>
      </c>
      <c r="M344" s="1075"/>
      <c r="O344" s="8"/>
      <c r="P344" s="8"/>
      <c r="Q344" s="8"/>
      <c r="R344" s="8"/>
      <c r="S344" s="8"/>
      <c r="U344" s="1084"/>
      <c r="V344" s="1084"/>
      <c r="W344" s="1084"/>
      <c r="X344" s="1084"/>
      <c r="Y344" s="1169"/>
      <c r="Z344" s="1169"/>
      <c r="AA344" s="1169"/>
      <c r="AB344" s="1170"/>
      <c r="AC344" s="1167"/>
      <c r="AD344" s="1167"/>
    </row>
    <row r="345" spans="2:30" ht="18.75" customHeight="1" thickBot="1" x14ac:dyDescent="0.25">
      <c r="B345" s="1078" t="s">
        <v>303</v>
      </c>
      <c r="C345" s="1078"/>
      <c r="D345" s="1076">
        <v>8.44</v>
      </c>
      <c r="E345" s="1076"/>
      <c r="F345" s="1076">
        <v>8.33</v>
      </c>
      <c r="G345" s="1076"/>
      <c r="H345" s="1070">
        <v>8.7799999999999994</v>
      </c>
      <c r="I345" s="1070"/>
      <c r="J345" s="1070">
        <v>8.7799999999999994</v>
      </c>
      <c r="K345" s="1081"/>
      <c r="L345" s="1075">
        <v>8.33</v>
      </c>
      <c r="M345" s="1075"/>
      <c r="O345" s="8"/>
      <c r="P345" s="8"/>
      <c r="Q345" s="8"/>
      <c r="R345" s="8"/>
      <c r="S345" s="8"/>
      <c r="U345" s="1084"/>
      <c r="V345" s="1084"/>
      <c r="W345" s="1084"/>
      <c r="X345" s="1084"/>
      <c r="Y345" s="1169"/>
      <c r="Z345" s="1169"/>
      <c r="AA345" s="1169"/>
      <c r="AB345" s="1170"/>
      <c r="AC345" s="1167"/>
      <c r="AD345" s="1167"/>
    </row>
    <row r="346" spans="2:30" ht="18.75" customHeight="1" thickBot="1" x14ac:dyDescent="0.25">
      <c r="B346" s="1078" t="s">
        <v>629</v>
      </c>
      <c r="C346" s="1078"/>
      <c r="D346" s="1076">
        <v>5.57</v>
      </c>
      <c r="E346" s="1076"/>
      <c r="F346" s="1076">
        <v>6.64</v>
      </c>
      <c r="G346" s="1076"/>
      <c r="H346" s="1070">
        <v>7.29</v>
      </c>
      <c r="I346" s="1070"/>
      <c r="J346" s="1070">
        <v>5.36</v>
      </c>
      <c r="K346" s="1081"/>
      <c r="L346" s="1075">
        <v>5.93</v>
      </c>
      <c r="M346" s="1075"/>
      <c r="O346" s="8"/>
      <c r="P346" s="8"/>
      <c r="Q346" s="8"/>
      <c r="R346" s="8"/>
      <c r="S346" s="8"/>
      <c r="U346" s="1084"/>
      <c r="V346" s="1084"/>
      <c r="W346" s="1084"/>
      <c r="X346" s="1084"/>
      <c r="Y346" s="1169"/>
      <c r="Z346" s="1169"/>
      <c r="AA346" s="1169"/>
      <c r="AB346" s="1170"/>
      <c r="AC346" s="1167"/>
      <c r="AD346" s="1167"/>
    </row>
    <row r="347" spans="2:30" ht="23.25" customHeight="1" thickBot="1" x14ac:dyDescent="0.25">
      <c r="B347" s="1078" t="s">
        <v>635</v>
      </c>
      <c r="C347" s="1078"/>
      <c r="D347" s="1076">
        <v>8.7799999999999994</v>
      </c>
      <c r="E347" s="1076"/>
      <c r="F347" s="1076">
        <v>8.67</v>
      </c>
      <c r="G347" s="1076"/>
      <c r="H347" s="1070">
        <v>9.33</v>
      </c>
      <c r="I347" s="1070"/>
      <c r="J347" s="1070">
        <v>8.11</v>
      </c>
      <c r="K347" s="1081"/>
      <c r="L347" s="1075">
        <v>8.7799999999999994</v>
      </c>
      <c r="M347" s="1075"/>
      <c r="O347" s="8"/>
      <c r="P347" s="8"/>
      <c r="Q347" s="8"/>
      <c r="R347" s="8"/>
      <c r="S347" s="8"/>
      <c r="U347" s="1084"/>
      <c r="V347" s="1084"/>
      <c r="W347" s="1084"/>
      <c r="X347" s="1084"/>
      <c r="Y347" s="1169"/>
      <c r="Z347" s="1169"/>
      <c r="AA347" s="1169"/>
      <c r="AB347" s="1170"/>
      <c r="AC347" s="1167"/>
      <c r="AD347" s="1167"/>
    </row>
    <row r="348" spans="2:30" ht="23.25" customHeight="1" thickBot="1" x14ac:dyDescent="0.25">
      <c r="B348" s="1078" t="s">
        <v>628</v>
      </c>
      <c r="C348" s="1078"/>
      <c r="D348" s="1091" t="s">
        <v>963</v>
      </c>
      <c r="E348" s="1076"/>
      <c r="F348" s="1091" t="s">
        <v>963</v>
      </c>
      <c r="G348" s="1076"/>
      <c r="H348" s="1091" t="s">
        <v>963</v>
      </c>
      <c r="I348" s="1076"/>
      <c r="J348" s="1091" t="s">
        <v>963</v>
      </c>
      <c r="K348" s="1076"/>
      <c r="L348" s="1091" t="s">
        <v>963</v>
      </c>
      <c r="M348" s="1076"/>
      <c r="O348" s="8"/>
      <c r="P348" s="8"/>
      <c r="Q348" s="8"/>
      <c r="R348" s="8"/>
      <c r="S348" s="8"/>
      <c r="U348" s="1084"/>
      <c r="V348" s="1084"/>
      <c r="W348" s="1084"/>
      <c r="X348" s="1084"/>
      <c r="Y348" s="1084"/>
      <c r="Z348" s="1084"/>
      <c r="AA348" s="1084"/>
      <c r="AB348" s="1084"/>
      <c r="AC348" s="1167"/>
      <c r="AD348" s="1167"/>
    </row>
    <row r="349" spans="2:30" ht="20.25" customHeight="1" thickBot="1" x14ac:dyDescent="0.25">
      <c r="B349" s="1166" t="s">
        <v>550</v>
      </c>
      <c r="C349" s="1166"/>
      <c r="D349" s="1165">
        <v>8.25</v>
      </c>
      <c r="E349" s="1165"/>
      <c r="F349" s="1165">
        <v>8.36</v>
      </c>
      <c r="G349" s="1165"/>
      <c r="H349" s="1165">
        <v>8.61</v>
      </c>
      <c r="I349" s="1165"/>
      <c r="J349" s="1165">
        <v>8.14</v>
      </c>
      <c r="K349" s="1165"/>
      <c r="L349" s="1165">
        <v>8.2100000000000009</v>
      </c>
      <c r="M349" s="1165"/>
      <c r="O349" s="8"/>
      <c r="P349" s="8"/>
      <c r="Q349" s="8"/>
      <c r="R349" s="8"/>
      <c r="S349" s="8"/>
      <c r="U349" s="1168"/>
      <c r="V349" s="1168"/>
      <c r="W349" s="1168"/>
      <c r="X349" s="1168"/>
      <c r="Y349" s="1168"/>
      <c r="Z349" s="1168"/>
      <c r="AA349" s="1168"/>
      <c r="AB349" s="1168"/>
      <c r="AC349" s="1168"/>
      <c r="AD349" s="1168"/>
    </row>
    <row r="350" spans="2:30" x14ac:dyDescent="0.2">
      <c r="B350" s="41"/>
    </row>
    <row r="351" spans="2:30" ht="15" customHeight="1" x14ac:dyDescent="0.2">
      <c r="B351" s="1079" t="s">
        <v>9</v>
      </c>
      <c r="C351" s="1079"/>
      <c r="D351" s="1079"/>
      <c r="E351" s="1079"/>
      <c r="F351" s="1079"/>
      <c r="G351" s="1079"/>
      <c r="H351" s="1079"/>
      <c r="I351" s="1079"/>
      <c r="J351" s="1079"/>
      <c r="K351" s="1079"/>
      <c r="L351" s="1079"/>
      <c r="M351" s="1079"/>
    </row>
    <row r="352" spans="2:30" ht="15" customHeight="1" x14ac:dyDescent="0.2">
      <c r="B352" s="1008" t="s">
        <v>250</v>
      </c>
      <c r="C352" s="1008"/>
      <c r="D352" s="1012" t="s">
        <v>1139</v>
      </c>
      <c r="E352" s="1012"/>
      <c r="F352" s="1012" t="s">
        <v>545</v>
      </c>
      <c r="G352" s="1012"/>
      <c r="H352" s="1012" t="s">
        <v>1157</v>
      </c>
      <c r="I352" s="1012"/>
      <c r="J352" s="1012" t="s">
        <v>551</v>
      </c>
      <c r="K352" s="1012"/>
      <c r="L352" s="1012" t="s">
        <v>612</v>
      </c>
      <c r="M352" s="1012"/>
    </row>
    <row r="353" spans="2:30" ht="47.25" customHeight="1" x14ac:dyDescent="0.2">
      <c r="B353" s="1012"/>
      <c r="C353" s="1012"/>
      <c r="D353" s="1080" t="s">
        <v>1132</v>
      </c>
      <c r="E353" s="1080"/>
      <c r="F353" s="1080" t="s">
        <v>1133</v>
      </c>
      <c r="G353" s="1080"/>
      <c r="H353" s="1080" t="s">
        <v>1158</v>
      </c>
      <c r="I353" s="1080"/>
      <c r="J353" s="1080" t="s">
        <v>1448</v>
      </c>
      <c r="K353" s="1080"/>
      <c r="L353" s="1080" t="s">
        <v>1131</v>
      </c>
      <c r="M353" s="1080"/>
    </row>
    <row r="354" spans="2:30" ht="18.75" customHeight="1" thickBot="1" x14ac:dyDescent="0.25">
      <c r="B354" s="1090" t="s">
        <v>341</v>
      </c>
      <c r="C354" s="1090"/>
      <c r="D354" s="1076">
        <v>6.5</v>
      </c>
      <c r="E354" s="1076"/>
      <c r="F354" s="1076">
        <v>7.5</v>
      </c>
      <c r="G354" s="1076"/>
      <c r="H354" s="1077">
        <v>7.5</v>
      </c>
      <c r="I354" s="1077"/>
      <c r="J354" s="1074">
        <v>7</v>
      </c>
      <c r="K354" s="835"/>
      <c r="L354" s="1075">
        <v>7</v>
      </c>
      <c r="M354" s="1075"/>
      <c r="O354" s="8"/>
      <c r="P354" s="8"/>
      <c r="Q354" s="8"/>
      <c r="R354" s="8"/>
      <c r="S354" s="8"/>
      <c r="U354" s="1084"/>
      <c r="V354" s="1084"/>
      <c r="W354" s="1084"/>
      <c r="X354" s="1084"/>
      <c r="Y354" s="1169"/>
      <c r="Z354" s="1169"/>
      <c r="AA354" s="1169"/>
      <c r="AB354" s="1170"/>
      <c r="AC354" s="1167"/>
      <c r="AD354" s="1167"/>
    </row>
    <row r="355" spans="2:30" ht="18.75" customHeight="1" thickBot="1" x14ac:dyDescent="0.25">
      <c r="B355" s="1090" t="s">
        <v>347</v>
      </c>
      <c r="C355" s="1090"/>
      <c r="D355" s="1076">
        <v>4</v>
      </c>
      <c r="E355" s="1076"/>
      <c r="F355" s="1076">
        <v>6.5</v>
      </c>
      <c r="G355" s="1076"/>
      <c r="H355" s="1077">
        <v>7</v>
      </c>
      <c r="I355" s="1077"/>
      <c r="J355" s="1074">
        <v>7</v>
      </c>
      <c r="K355" s="835"/>
      <c r="L355" s="1075">
        <v>7</v>
      </c>
      <c r="M355" s="1075"/>
      <c r="O355" s="8"/>
      <c r="P355" s="8"/>
      <c r="Q355" s="8"/>
      <c r="R355" s="8"/>
      <c r="S355" s="8"/>
      <c r="U355" s="1084"/>
      <c r="V355" s="1084"/>
      <c r="W355" s="1084"/>
      <c r="X355" s="1084"/>
      <c r="Y355" s="1169"/>
      <c r="Z355" s="1169"/>
      <c r="AA355" s="1169"/>
      <c r="AB355" s="1170"/>
      <c r="AC355" s="1167"/>
      <c r="AD355" s="1167"/>
    </row>
    <row r="356" spans="2:30" ht="18.75" customHeight="1" thickBot="1" x14ac:dyDescent="0.25">
      <c r="B356" s="1090" t="s">
        <v>1144</v>
      </c>
      <c r="C356" s="1090"/>
      <c r="D356" s="1076">
        <v>6</v>
      </c>
      <c r="E356" s="1076"/>
      <c r="F356" s="1076">
        <v>7</v>
      </c>
      <c r="G356" s="1076"/>
      <c r="H356" s="1077">
        <v>8</v>
      </c>
      <c r="I356" s="1077"/>
      <c r="J356" s="1074">
        <v>8</v>
      </c>
      <c r="K356" s="835"/>
      <c r="L356" s="1075">
        <v>6</v>
      </c>
      <c r="M356" s="1075"/>
      <c r="O356" s="8"/>
      <c r="P356" s="8"/>
      <c r="Q356" s="8"/>
      <c r="R356" s="8"/>
      <c r="S356" s="8"/>
      <c r="U356" s="1084"/>
      <c r="V356" s="1084"/>
      <c r="W356" s="1084"/>
      <c r="X356" s="1084"/>
      <c r="Y356" s="1169"/>
      <c r="Z356" s="1169"/>
      <c r="AA356" s="1169"/>
      <c r="AB356" s="1170"/>
      <c r="AC356" s="1167"/>
      <c r="AD356" s="1167"/>
    </row>
    <row r="357" spans="2:30" ht="18.75" customHeight="1" thickBot="1" x14ac:dyDescent="0.25">
      <c r="B357" s="1072" t="s">
        <v>285</v>
      </c>
      <c r="C357" s="1072"/>
      <c r="D357" s="1076" t="s">
        <v>52</v>
      </c>
      <c r="E357" s="1076"/>
      <c r="F357" s="1076" t="s">
        <v>52</v>
      </c>
      <c r="G357" s="1076"/>
      <c r="H357" s="1076" t="s">
        <v>52</v>
      </c>
      <c r="I357" s="1076"/>
      <c r="J357" s="1076" t="s">
        <v>52</v>
      </c>
      <c r="K357" s="1076"/>
      <c r="L357" s="1076" t="s">
        <v>52</v>
      </c>
      <c r="M357" s="1076"/>
      <c r="O357" s="8"/>
      <c r="P357" s="8"/>
      <c r="Q357" s="8"/>
      <c r="R357" s="8"/>
      <c r="S357" s="8"/>
      <c r="U357" s="1084"/>
      <c r="V357" s="1084"/>
      <c r="W357" s="1084"/>
      <c r="X357" s="1084"/>
      <c r="Y357" s="1169"/>
      <c r="Z357" s="1169"/>
      <c r="AA357" s="1169"/>
      <c r="AB357" s="1170"/>
      <c r="AC357" s="1167"/>
      <c r="AD357" s="1167"/>
    </row>
    <row r="358" spans="2:30" ht="25.5" customHeight="1" thickBot="1" x14ac:dyDescent="0.25">
      <c r="B358" s="1072" t="s">
        <v>1145</v>
      </c>
      <c r="C358" s="1072"/>
      <c r="D358" s="1076">
        <v>9.5</v>
      </c>
      <c r="E358" s="1076"/>
      <c r="F358" s="1076">
        <v>7.5</v>
      </c>
      <c r="G358" s="1076"/>
      <c r="H358" s="1077">
        <v>9.5</v>
      </c>
      <c r="I358" s="1077"/>
      <c r="J358" s="1074">
        <v>9.5</v>
      </c>
      <c r="K358" s="835"/>
      <c r="L358" s="1075">
        <v>9.5</v>
      </c>
      <c r="M358" s="1075"/>
      <c r="O358" s="8"/>
      <c r="P358" s="8"/>
      <c r="Q358" s="8"/>
      <c r="R358" s="8"/>
      <c r="S358" s="8"/>
      <c r="U358" s="1084"/>
      <c r="V358" s="1084"/>
      <c r="W358" s="1084"/>
      <c r="X358" s="1084"/>
      <c r="Y358" s="1169"/>
      <c r="Z358" s="1169"/>
      <c r="AA358" s="1169"/>
      <c r="AB358" s="1170"/>
      <c r="AC358" s="1167"/>
      <c r="AD358" s="1167"/>
    </row>
    <row r="359" spans="2:30" ht="18.75" customHeight="1" thickBot="1" x14ac:dyDescent="0.25">
      <c r="B359" s="1072" t="s">
        <v>1146</v>
      </c>
      <c r="C359" s="1072"/>
      <c r="D359" s="1076" t="s">
        <v>52</v>
      </c>
      <c r="E359" s="1076"/>
      <c r="F359" s="1076" t="s">
        <v>52</v>
      </c>
      <c r="G359" s="1076"/>
      <c r="H359" s="1076" t="s">
        <v>52</v>
      </c>
      <c r="I359" s="1076"/>
      <c r="J359" s="1076" t="s">
        <v>52</v>
      </c>
      <c r="K359" s="1076"/>
      <c r="L359" s="1076" t="s">
        <v>52</v>
      </c>
      <c r="M359" s="1076"/>
      <c r="O359" s="8"/>
      <c r="P359" s="8"/>
      <c r="Q359" s="8"/>
      <c r="R359" s="8"/>
      <c r="S359" s="8"/>
      <c r="U359" s="1084"/>
      <c r="V359" s="1084"/>
      <c r="W359" s="1084"/>
      <c r="X359" s="1084"/>
      <c r="Y359" s="1169"/>
      <c r="Z359" s="1169"/>
      <c r="AA359" s="1169"/>
      <c r="AB359" s="1170"/>
      <c r="AC359" s="1167"/>
      <c r="AD359" s="1167"/>
    </row>
    <row r="360" spans="2:30" ht="26.25" customHeight="1" thickBot="1" x14ac:dyDescent="0.25">
      <c r="B360" s="1072" t="s">
        <v>547</v>
      </c>
      <c r="C360" s="1072"/>
      <c r="D360" s="1076" t="s">
        <v>52</v>
      </c>
      <c r="E360" s="1076"/>
      <c r="F360" s="1076" t="s">
        <v>52</v>
      </c>
      <c r="G360" s="1076"/>
      <c r="H360" s="1076" t="s">
        <v>52</v>
      </c>
      <c r="I360" s="1076"/>
      <c r="J360" s="1076" t="s">
        <v>52</v>
      </c>
      <c r="K360" s="1076"/>
      <c r="L360" s="1076" t="s">
        <v>52</v>
      </c>
      <c r="M360" s="1076"/>
      <c r="O360" s="8"/>
      <c r="P360" s="8"/>
      <c r="Q360" s="8"/>
      <c r="R360" s="8"/>
      <c r="S360" s="8"/>
      <c r="U360" s="1084"/>
      <c r="V360" s="1084"/>
      <c r="W360" s="1084"/>
      <c r="X360" s="1084"/>
      <c r="Y360" s="1169"/>
      <c r="Z360" s="1169"/>
      <c r="AA360" s="1169"/>
      <c r="AB360" s="1170"/>
      <c r="AC360" s="1167"/>
      <c r="AD360" s="1167"/>
    </row>
    <row r="361" spans="2:30" ht="18.75" customHeight="1" thickBot="1" x14ac:dyDescent="0.25">
      <c r="B361" s="1072" t="s">
        <v>348</v>
      </c>
      <c r="C361" s="1072"/>
      <c r="D361" s="1076" t="s">
        <v>52</v>
      </c>
      <c r="E361" s="1076"/>
      <c r="F361" s="1076" t="s">
        <v>52</v>
      </c>
      <c r="G361" s="1076"/>
      <c r="H361" s="1076" t="s">
        <v>52</v>
      </c>
      <c r="I361" s="1076"/>
      <c r="J361" s="1076" t="s">
        <v>52</v>
      </c>
      <c r="K361" s="1076"/>
      <c r="L361" s="1076" t="s">
        <v>52</v>
      </c>
      <c r="M361" s="1076"/>
      <c r="O361" s="8"/>
      <c r="P361" s="8"/>
      <c r="Q361" s="8"/>
      <c r="R361" s="8"/>
      <c r="S361" s="8"/>
      <c r="U361" s="1084"/>
      <c r="V361" s="1084"/>
      <c r="W361" s="1084"/>
      <c r="X361" s="1084"/>
      <c r="Y361" s="1169"/>
      <c r="Z361" s="1169"/>
      <c r="AA361" s="1169"/>
      <c r="AB361" s="1170"/>
      <c r="AC361" s="1167"/>
      <c r="AD361" s="1167"/>
    </row>
    <row r="362" spans="2:30" ht="18.75" customHeight="1" thickBot="1" x14ac:dyDescent="0.25">
      <c r="B362" s="1072" t="s">
        <v>918</v>
      </c>
      <c r="C362" s="1072"/>
      <c r="D362" s="1076">
        <v>8.5</v>
      </c>
      <c r="E362" s="1076"/>
      <c r="F362" s="1076">
        <v>9.17</v>
      </c>
      <c r="G362" s="1076"/>
      <c r="H362" s="1077">
        <v>9.17</v>
      </c>
      <c r="I362" s="1077"/>
      <c r="J362" s="1074">
        <v>8.33</v>
      </c>
      <c r="K362" s="835"/>
      <c r="L362" s="1075">
        <v>8.67</v>
      </c>
      <c r="M362" s="1075"/>
      <c r="O362" s="8"/>
      <c r="P362" s="8"/>
      <c r="Q362" s="8"/>
      <c r="R362" s="8"/>
      <c r="S362" s="8"/>
      <c r="U362" s="1084"/>
      <c r="V362" s="1084"/>
      <c r="W362" s="1084"/>
      <c r="X362" s="1084"/>
      <c r="Y362" s="1169"/>
      <c r="Z362" s="1169"/>
      <c r="AA362" s="1169"/>
      <c r="AB362" s="1170"/>
      <c r="AC362" s="1167"/>
      <c r="AD362" s="1167"/>
    </row>
    <row r="363" spans="2:30" ht="35.25" customHeight="1" thickBot="1" x14ac:dyDescent="0.25">
      <c r="B363" s="1072" t="s">
        <v>1147</v>
      </c>
      <c r="C363" s="1072"/>
      <c r="D363" s="1076" t="s">
        <v>52</v>
      </c>
      <c r="E363" s="1076"/>
      <c r="F363" s="1076" t="s">
        <v>52</v>
      </c>
      <c r="G363" s="1076"/>
      <c r="H363" s="1076" t="s">
        <v>52</v>
      </c>
      <c r="I363" s="1076"/>
      <c r="J363" s="1076" t="s">
        <v>52</v>
      </c>
      <c r="K363" s="1076"/>
      <c r="L363" s="1076" t="s">
        <v>52</v>
      </c>
      <c r="M363" s="1076"/>
      <c r="O363" s="8"/>
      <c r="P363" s="8"/>
      <c r="Q363" s="8"/>
      <c r="R363" s="8"/>
      <c r="S363" s="8"/>
      <c r="U363" s="1084"/>
      <c r="V363" s="1084"/>
      <c r="W363" s="1084"/>
      <c r="X363" s="1084"/>
      <c r="Y363" s="1169"/>
      <c r="Z363" s="1169"/>
      <c r="AA363" s="1169"/>
      <c r="AB363" s="1170"/>
      <c r="AC363" s="1167"/>
      <c r="AD363" s="1167"/>
    </row>
    <row r="364" spans="2:30" ht="27.75" customHeight="1" thickBot="1" x14ac:dyDescent="0.25">
      <c r="B364" s="1072" t="s">
        <v>283</v>
      </c>
      <c r="C364" s="1072"/>
      <c r="D364" s="1076" t="s">
        <v>52</v>
      </c>
      <c r="E364" s="1076"/>
      <c r="F364" s="1076" t="s">
        <v>52</v>
      </c>
      <c r="G364" s="1076"/>
      <c r="H364" s="1076" t="s">
        <v>52</v>
      </c>
      <c r="I364" s="1076"/>
      <c r="J364" s="1076" t="s">
        <v>52</v>
      </c>
      <c r="K364" s="1076"/>
      <c r="L364" s="1076" t="s">
        <v>52</v>
      </c>
      <c r="M364" s="1076"/>
      <c r="O364" s="8"/>
      <c r="P364" s="8"/>
      <c r="Q364" s="8"/>
      <c r="R364" s="8"/>
      <c r="S364" s="8"/>
      <c r="U364" s="1084"/>
      <c r="V364" s="1084"/>
      <c r="W364" s="1084"/>
      <c r="X364" s="1084"/>
      <c r="Y364" s="1169"/>
      <c r="Z364" s="1169"/>
      <c r="AA364" s="1169"/>
      <c r="AB364" s="1170"/>
      <c r="AC364" s="1167"/>
      <c r="AD364" s="1167"/>
    </row>
    <row r="365" spans="2:30" ht="24.75" customHeight="1" thickBot="1" x14ac:dyDescent="0.25">
      <c r="B365" s="1072" t="s">
        <v>1148</v>
      </c>
      <c r="C365" s="1072"/>
      <c r="D365" s="1076">
        <v>8.5</v>
      </c>
      <c r="E365" s="1076"/>
      <c r="F365" s="1076">
        <v>9</v>
      </c>
      <c r="G365" s="1076"/>
      <c r="H365" s="1077">
        <v>9</v>
      </c>
      <c r="I365" s="1077"/>
      <c r="J365" s="1074">
        <v>8.9</v>
      </c>
      <c r="K365" s="835"/>
      <c r="L365" s="1075">
        <v>8.6999999999999993</v>
      </c>
      <c r="M365" s="1075"/>
      <c r="O365" s="8"/>
      <c r="P365" s="8"/>
      <c r="Q365" s="8"/>
      <c r="R365" s="8"/>
      <c r="S365" s="8"/>
      <c r="U365" s="1084"/>
      <c r="V365" s="1084"/>
      <c r="W365" s="1084"/>
      <c r="X365" s="1084"/>
      <c r="Y365" s="1169"/>
      <c r="Z365" s="1169"/>
      <c r="AA365" s="1169"/>
      <c r="AB365" s="1170"/>
      <c r="AC365" s="1167"/>
      <c r="AD365" s="1167"/>
    </row>
    <row r="366" spans="2:30" ht="24.75" customHeight="1" thickBot="1" x14ac:dyDescent="0.25">
      <c r="B366" s="1072" t="s">
        <v>1449</v>
      </c>
      <c r="C366" s="1072"/>
      <c r="D366" s="1073">
        <v>9</v>
      </c>
      <c r="E366" s="1073"/>
      <c r="F366" s="1073">
        <v>8.91</v>
      </c>
      <c r="G366" s="1073"/>
      <c r="H366" s="1070">
        <v>9.09</v>
      </c>
      <c r="I366" s="1070"/>
      <c r="J366" s="1070">
        <v>8.91</v>
      </c>
      <c r="K366" s="1070"/>
      <c r="L366" s="1071">
        <v>8.64</v>
      </c>
      <c r="M366" s="1071"/>
      <c r="O366" s="8"/>
      <c r="P366" s="8"/>
      <c r="Q366" s="8"/>
      <c r="R366" s="8"/>
      <c r="S366" s="8"/>
      <c r="U366" s="239"/>
      <c r="V366" s="239"/>
      <c r="W366" s="239"/>
      <c r="X366" s="239"/>
      <c r="Y366" s="704"/>
      <c r="Z366" s="704"/>
      <c r="AA366" s="704"/>
      <c r="AB366" s="705"/>
      <c r="AC366" s="707"/>
      <c r="AD366" s="707"/>
    </row>
    <row r="367" spans="2:30" ht="25.5" customHeight="1" thickBot="1" x14ac:dyDescent="0.25">
      <c r="B367" s="1072" t="s">
        <v>1149</v>
      </c>
      <c r="C367" s="1072"/>
      <c r="D367" s="1076">
        <v>10</v>
      </c>
      <c r="E367" s="1076"/>
      <c r="F367" s="1076">
        <v>9.5</v>
      </c>
      <c r="G367" s="1076"/>
      <c r="H367" s="1077">
        <v>10</v>
      </c>
      <c r="I367" s="1077"/>
      <c r="J367" s="1074">
        <v>9.5</v>
      </c>
      <c r="K367" s="835"/>
      <c r="L367" s="1075">
        <v>9.5</v>
      </c>
      <c r="M367" s="1075"/>
      <c r="O367" s="8"/>
      <c r="P367" s="8"/>
      <c r="Q367" s="8"/>
      <c r="R367" s="8"/>
      <c r="S367" s="8"/>
      <c r="U367" s="1084"/>
      <c r="V367" s="1084"/>
      <c r="W367" s="1084"/>
      <c r="X367" s="1084"/>
      <c r="Y367" s="1169"/>
      <c r="Z367" s="1169"/>
      <c r="AA367" s="1169"/>
      <c r="AB367" s="1170"/>
      <c r="AC367" s="1167"/>
      <c r="AD367" s="1167"/>
    </row>
    <row r="368" spans="2:30" ht="18.75" customHeight="1" thickBot="1" x14ac:dyDescent="0.25">
      <c r="B368" s="1072" t="s">
        <v>919</v>
      </c>
      <c r="C368" s="1072"/>
      <c r="D368" s="1076">
        <v>8.5</v>
      </c>
      <c r="E368" s="1076"/>
      <c r="F368" s="1076">
        <v>9</v>
      </c>
      <c r="G368" s="1076"/>
      <c r="H368" s="1077">
        <v>9</v>
      </c>
      <c r="I368" s="1077"/>
      <c r="J368" s="1074">
        <v>9</v>
      </c>
      <c r="K368" s="835"/>
      <c r="L368" s="1075">
        <v>9</v>
      </c>
      <c r="M368" s="1075"/>
      <c r="O368" s="8"/>
      <c r="P368" s="8"/>
      <c r="Q368" s="8"/>
      <c r="R368" s="8"/>
      <c r="S368" s="8"/>
      <c r="U368" s="1084"/>
      <c r="V368" s="1084"/>
      <c r="W368" s="1084"/>
      <c r="X368" s="1084"/>
      <c r="Y368" s="1169"/>
      <c r="Z368" s="1169"/>
      <c r="AA368" s="1169"/>
      <c r="AB368" s="1170"/>
      <c r="AC368" s="1167"/>
      <c r="AD368" s="1167"/>
    </row>
    <row r="369" spans="2:30" ht="18.75" customHeight="1" thickBot="1" x14ac:dyDescent="0.25">
      <c r="B369" s="1072" t="s">
        <v>359</v>
      </c>
      <c r="C369" s="1072"/>
      <c r="D369" s="1073">
        <v>8.5</v>
      </c>
      <c r="E369" s="1073"/>
      <c r="F369" s="1073">
        <v>8.5</v>
      </c>
      <c r="G369" s="1073"/>
      <c r="H369" s="1070">
        <v>8.5</v>
      </c>
      <c r="I369" s="1070"/>
      <c r="J369" s="1070">
        <v>8</v>
      </c>
      <c r="K369" s="1070"/>
      <c r="L369" s="1071">
        <v>8</v>
      </c>
      <c r="M369" s="1071"/>
      <c r="O369" s="8"/>
      <c r="P369" s="8"/>
      <c r="Q369" s="8"/>
      <c r="R369" s="8"/>
      <c r="S369" s="8"/>
      <c r="U369" s="239"/>
      <c r="V369" s="239"/>
      <c r="W369" s="239"/>
      <c r="X369" s="239"/>
      <c r="Y369" s="704"/>
      <c r="Z369" s="704"/>
      <c r="AA369" s="704"/>
      <c r="AB369" s="705"/>
      <c r="AC369" s="707"/>
      <c r="AD369" s="707"/>
    </row>
    <row r="370" spans="2:30" ht="18.75" customHeight="1" thickBot="1" x14ac:dyDescent="0.25">
      <c r="B370" s="1072" t="s">
        <v>289</v>
      </c>
      <c r="C370" s="1072"/>
      <c r="D370" s="1073">
        <v>7.75</v>
      </c>
      <c r="E370" s="1073"/>
      <c r="F370" s="1073">
        <v>8.25</v>
      </c>
      <c r="G370" s="1073"/>
      <c r="H370" s="1070">
        <v>9</v>
      </c>
      <c r="I370" s="1070"/>
      <c r="J370" s="1070">
        <v>9</v>
      </c>
      <c r="K370" s="1070"/>
      <c r="L370" s="1071">
        <v>8</v>
      </c>
      <c r="M370" s="1071"/>
      <c r="O370" s="8"/>
      <c r="P370" s="8"/>
      <c r="Q370" s="8"/>
      <c r="R370" s="8"/>
      <c r="S370" s="8"/>
      <c r="U370" s="239"/>
      <c r="V370" s="239"/>
      <c r="W370" s="239"/>
      <c r="X370" s="239"/>
      <c r="Y370" s="704"/>
      <c r="Z370" s="704"/>
      <c r="AA370" s="704"/>
      <c r="AB370" s="705"/>
      <c r="AC370" s="707"/>
      <c r="AD370" s="707"/>
    </row>
    <row r="371" spans="2:30" ht="23.25" customHeight="1" thickBot="1" x14ac:dyDescent="0.25">
      <c r="B371" s="1072" t="s">
        <v>1450</v>
      </c>
      <c r="C371" s="1072"/>
      <c r="D371" s="1073">
        <v>8</v>
      </c>
      <c r="E371" s="1073"/>
      <c r="F371" s="1073">
        <v>7.33</v>
      </c>
      <c r="G371" s="1073"/>
      <c r="H371" s="1070">
        <v>8.33</v>
      </c>
      <c r="I371" s="1070"/>
      <c r="J371" s="1070">
        <v>8.33</v>
      </c>
      <c r="K371" s="1070"/>
      <c r="L371" s="1071">
        <v>8</v>
      </c>
      <c r="M371" s="1071"/>
      <c r="O371" s="8"/>
      <c r="P371" s="8"/>
      <c r="Q371" s="8"/>
      <c r="R371" s="8"/>
      <c r="S371" s="8"/>
      <c r="U371" s="239"/>
      <c r="V371" s="239"/>
      <c r="W371" s="239"/>
      <c r="X371" s="239"/>
      <c r="Y371" s="704"/>
      <c r="Z371" s="704"/>
      <c r="AA371" s="704"/>
      <c r="AB371" s="705"/>
      <c r="AC371" s="707"/>
      <c r="AD371" s="707"/>
    </row>
    <row r="372" spans="2:30" ht="23.25" customHeight="1" thickBot="1" x14ac:dyDescent="0.25">
      <c r="B372" s="1072" t="s">
        <v>1451</v>
      </c>
      <c r="C372" s="1072"/>
      <c r="D372" s="1073">
        <v>8</v>
      </c>
      <c r="E372" s="1073"/>
      <c r="F372" s="1073">
        <v>10</v>
      </c>
      <c r="G372" s="1073"/>
      <c r="H372" s="1070">
        <v>8</v>
      </c>
      <c r="I372" s="1070"/>
      <c r="J372" s="1070">
        <v>8</v>
      </c>
      <c r="K372" s="1070"/>
      <c r="L372" s="1071">
        <v>9</v>
      </c>
      <c r="M372" s="1071"/>
      <c r="O372" s="8"/>
      <c r="P372" s="8"/>
      <c r="Q372" s="8"/>
      <c r="R372" s="8"/>
      <c r="S372" s="8"/>
      <c r="U372" s="239"/>
      <c r="V372" s="239"/>
      <c r="W372" s="239"/>
      <c r="X372" s="239"/>
      <c r="Y372" s="704"/>
      <c r="Z372" s="704"/>
      <c r="AA372" s="704"/>
      <c r="AB372" s="705"/>
      <c r="AC372" s="707"/>
      <c r="AD372" s="707"/>
    </row>
    <row r="373" spans="2:30" ht="23.25" customHeight="1" thickBot="1" x14ac:dyDescent="0.25">
      <c r="B373" s="1072" t="s">
        <v>1134</v>
      </c>
      <c r="C373" s="1072"/>
      <c r="D373" s="1073">
        <v>7</v>
      </c>
      <c r="E373" s="1073"/>
      <c r="F373" s="1073">
        <v>6</v>
      </c>
      <c r="G373" s="1073"/>
      <c r="H373" s="1070">
        <v>7</v>
      </c>
      <c r="I373" s="1070"/>
      <c r="J373" s="1070">
        <v>7</v>
      </c>
      <c r="K373" s="1070"/>
      <c r="L373" s="1071">
        <v>6</v>
      </c>
      <c r="M373" s="1071"/>
      <c r="O373" s="8"/>
      <c r="P373" s="8"/>
      <c r="Q373" s="8"/>
      <c r="R373" s="8"/>
      <c r="S373" s="8"/>
      <c r="U373" s="239"/>
      <c r="V373" s="239"/>
      <c r="W373" s="239"/>
      <c r="X373" s="239"/>
      <c r="Y373" s="704"/>
      <c r="Z373" s="704"/>
      <c r="AA373" s="704"/>
      <c r="AB373" s="705"/>
      <c r="AC373" s="707"/>
      <c r="AD373" s="707"/>
    </row>
    <row r="374" spans="2:30" ht="35.25" customHeight="1" thickBot="1" x14ac:dyDescent="0.25">
      <c r="B374" s="1072" t="s">
        <v>620</v>
      </c>
      <c r="C374" s="1072"/>
      <c r="D374" s="1073">
        <v>8</v>
      </c>
      <c r="E374" s="1073"/>
      <c r="F374" s="1073">
        <v>8</v>
      </c>
      <c r="G374" s="1073"/>
      <c r="H374" s="1070">
        <v>8</v>
      </c>
      <c r="I374" s="1070"/>
      <c r="J374" s="1070">
        <v>8</v>
      </c>
      <c r="K374" s="1070"/>
      <c r="L374" s="1071">
        <v>8</v>
      </c>
      <c r="M374" s="1071"/>
      <c r="O374" s="8"/>
      <c r="P374" s="8"/>
      <c r="Q374" s="8"/>
      <c r="R374" s="8"/>
      <c r="S374" s="8"/>
      <c r="U374" s="239"/>
      <c r="V374" s="239"/>
      <c r="W374" s="239"/>
      <c r="X374" s="239"/>
      <c r="Y374" s="704"/>
      <c r="Z374" s="704"/>
      <c r="AA374" s="704"/>
      <c r="AB374" s="705"/>
      <c r="AC374" s="707"/>
      <c r="AD374" s="707"/>
    </row>
    <row r="375" spans="2:30" ht="18.75" customHeight="1" thickBot="1" x14ac:dyDescent="0.25">
      <c r="B375" s="1072" t="s">
        <v>363</v>
      </c>
      <c r="C375" s="1072"/>
      <c r="D375" s="1073">
        <v>8</v>
      </c>
      <c r="E375" s="1073"/>
      <c r="F375" s="1073">
        <v>7.67</v>
      </c>
      <c r="G375" s="1073"/>
      <c r="H375" s="1070">
        <v>8.67</v>
      </c>
      <c r="I375" s="1070"/>
      <c r="J375" s="1070">
        <v>7.67</v>
      </c>
      <c r="K375" s="1070"/>
      <c r="L375" s="1071">
        <v>8.67</v>
      </c>
      <c r="M375" s="1071"/>
      <c r="O375" s="8"/>
      <c r="P375" s="8"/>
      <c r="Q375" s="8"/>
      <c r="R375" s="8"/>
      <c r="S375" s="8"/>
      <c r="U375" s="239"/>
      <c r="V375" s="239"/>
      <c r="W375" s="239"/>
      <c r="X375" s="239"/>
      <c r="Y375" s="704"/>
      <c r="Z375" s="704"/>
      <c r="AA375" s="704"/>
      <c r="AB375" s="705"/>
      <c r="AC375" s="707"/>
      <c r="AD375" s="707"/>
    </row>
    <row r="376" spans="2:30" ht="25.5" customHeight="1" thickBot="1" x14ac:dyDescent="0.25">
      <c r="B376" s="1072" t="s">
        <v>1452</v>
      </c>
      <c r="C376" s="1072"/>
      <c r="D376" s="1073">
        <v>7.5</v>
      </c>
      <c r="E376" s="1073"/>
      <c r="F376" s="1073">
        <v>8</v>
      </c>
      <c r="G376" s="1073"/>
      <c r="H376" s="1070">
        <v>8.5</v>
      </c>
      <c r="I376" s="1070"/>
      <c r="J376" s="1070">
        <v>7.5</v>
      </c>
      <c r="K376" s="1070"/>
      <c r="L376" s="1071">
        <v>9</v>
      </c>
      <c r="M376" s="1071"/>
      <c r="O376" s="8"/>
      <c r="P376" s="8"/>
      <c r="Q376" s="8"/>
      <c r="R376" s="8"/>
      <c r="S376" s="8"/>
      <c r="U376" s="239"/>
      <c r="V376" s="239"/>
      <c r="W376" s="239"/>
      <c r="X376" s="239"/>
      <c r="Y376" s="704"/>
      <c r="Z376" s="704"/>
      <c r="AA376" s="704"/>
      <c r="AB376" s="705"/>
      <c r="AC376" s="707"/>
      <c r="AD376" s="707"/>
    </row>
    <row r="377" spans="2:30" ht="35.25" customHeight="1" thickBot="1" x14ac:dyDescent="0.25">
      <c r="B377" s="1072" t="s">
        <v>1150</v>
      </c>
      <c r="C377" s="1072"/>
      <c r="D377" s="1076">
        <v>7.5</v>
      </c>
      <c r="E377" s="1076"/>
      <c r="F377" s="1076">
        <v>6.5</v>
      </c>
      <c r="G377" s="1076"/>
      <c r="H377" s="1077">
        <v>8</v>
      </c>
      <c r="I377" s="1077"/>
      <c r="J377" s="1074">
        <v>6.5</v>
      </c>
      <c r="K377" s="835"/>
      <c r="L377" s="1075">
        <v>7.5</v>
      </c>
      <c r="M377" s="1075"/>
      <c r="O377" s="8"/>
      <c r="P377" s="8"/>
      <c r="Q377" s="8"/>
      <c r="R377" s="8"/>
      <c r="S377" s="8"/>
      <c r="U377" s="1084"/>
      <c r="V377" s="1084"/>
      <c r="W377" s="1084"/>
      <c r="X377" s="1084"/>
      <c r="Y377" s="1169"/>
      <c r="Z377" s="1169"/>
      <c r="AA377" s="1169"/>
      <c r="AB377" s="1170"/>
      <c r="AC377" s="1167"/>
      <c r="AD377" s="1167"/>
    </row>
    <row r="378" spans="2:30" ht="35.25" customHeight="1" thickBot="1" x14ac:dyDescent="0.25">
      <c r="B378" s="1072" t="s">
        <v>1453</v>
      </c>
      <c r="C378" s="1072"/>
      <c r="D378" s="1076">
        <v>7.5</v>
      </c>
      <c r="E378" s="1076"/>
      <c r="F378" s="1076">
        <v>6.5</v>
      </c>
      <c r="G378" s="1076"/>
      <c r="H378" s="1077">
        <v>8</v>
      </c>
      <c r="I378" s="1077"/>
      <c r="J378" s="1074">
        <v>6.5</v>
      </c>
      <c r="K378" s="835"/>
      <c r="L378" s="1075">
        <v>7.5</v>
      </c>
      <c r="M378" s="1075"/>
      <c r="O378" s="8"/>
      <c r="P378" s="8"/>
      <c r="Q378" s="8"/>
      <c r="R378" s="8"/>
      <c r="S378" s="8"/>
      <c r="U378" s="239"/>
      <c r="V378" s="239"/>
      <c r="W378" s="239"/>
      <c r="X378" s="239"/>
      <c r="Y378" s="704"/>
      <c r="Z378" s="704"/>
      <c r="AA378" s="704"/>
      <c r="AB378" s="705"/>
      <c r="AC378" s="707"/>
      <c r="AD378" s="707"/>
    </row>
    <row r="379" spans="2:30" ht="35.25" customHeight="1" thickBot="1" x14ac:dyDescent="0.25">
      <c r="B379" s="1072" t="s">
        <v>1137</v>
      </c>
      <c r="C379" s="1072"/>
      <c r="D379" s="1076">
        <v>10</v>
      </c>
      <c r="E379" s="1076"/>
      <c r="F379" s="1076">
        <v>10</v>
      </c>
      <c r="G379" s="1076"/>
      <c r="H379" s="1077">
        <v>10</v>
      </c>
      <c r="I379" s="1077"/>
      <c r="J379" s="1074">
        <v>10</v>
      </c>
      <c r="K379" s="835"/>
      <c r="L379" s="1075">
        <v>10</v>
      </c>
      <c r="M379" s="1075"/>
      <c r="O379" s="8"/>
      <c r="P379" s="8"/>
      <c r="Q379" s="8"/>
      <c r="R379" s="8"/>
      <c r="S379" s="8"/>
      <c r="U379" s="239"/>
      <c r="V379" s="239"/>
      <c r="W379" s="239"/>
      <c r="X379" s="239"/>
      <c r="Y379" s="704"/>
      <c r="Z379" s="704"/>
      <c r="AA379" s="704"/>
      <c r="AB379" s="705"/>
      <c r="AC379" s="707"/>
      <c r="AD379" s="707"/>
    </row>
    <row r="380" spans="2:30" ht="36.75" customHeight="1" thickBot="1" x14ac:dyDescent="0.25">
      <c r="B380" s="1072" t="s">
        <v>1138</v>
      </c>
      <c r="C380" s="1072"/>
      <c r="D380" s="1076">
        <v>10</v>
      </c>
      <c r="E380" s="1076"/>
      <c r="F380" s="1076">
        <v>8.5</v>
      </c>
      <c r="G380" s="1076"/>
      <c r="H380" s="1077">
        <v>9.5</v>
      </c>
      <c r="I380" s="1077"/>
      <c r="J380" s="1074">
        <v>10</v>
      </c>
      <c r="K380" s="835"/>
      <c r="L380" s="1075">
        <v>9</v>
      </c>
      <c r="M380" s="1075"/>
      <c r="O380" s="8"/>
      <c r="P380" s="8"/>
      <c r="Q380" s="8"/>
      <c r="R380" s="8"/>
      <c r="S380" s="8"/>
      <c r="U380" s="1084"/>
      <c r="V380" s="1084"/>
      <c r="W380" s="1084"/>
      <c r="X380" s="1084"/>
      <c r="Y380" s="1169"/>
      <c r="Z380" s="1169"/>
      <c r="AA380" s="1169"/>
      <c r="AB380" s="1170"/>
      <c r="AC380" s="1167"/>
      <c r="AD380" s="1167"/>
    </row>
    <row r="381" spans="2:30" ht="23.25" customHeight="1" thickBot="1" x14ac:dyDescent="0.25">
      <c r="B381" s="1072" t="s">
        <v>1151</v>
      </c>
      <c r="C381" s="1072"/>
      <c r="D381" s="1076" t="s">
        <v>52</v>
      </c>
      <c r="E381" s="1076"/>
      <c r="F381" s="1076" t="s">
        <v>52</v>
      </c>
      <c r="G381" s="1076"/>
      <c r="H381" s="1076" t="s">
        <v>52</v>
      </c>
      <c r="I381" s="1076"/>
      <c r="J381" s="1076" t="s">
        <v>52</v>
      </c>
      <c r="K381" s="1076"/>
      <c r="L381" s="1076" t="s">
        <v>52</v>
      </c>
      <c r="M381" s="1076"/>
      <c r="O381" s="8"/>
      <c r="P381" s="8"/>
      <c r="Q381" s="8"/>
      <c r="R381" s="8"/>
      <c r="S381" s="8"/>
      <c r="U381" s="1084"/>
      <c r="V381" s="1084"/>
      <c r="W381" s="1084"/>
      <c r="X381" s="1084"/>
      <c r="Y381" s="1169"/>
      <c r="Z381" s="1169"/>
      <c r="AA381" s="1169"/>
      <c r="AB381" s="1170"/>
      <c r="AC381" s="1167"/>
      <c r="AD381" s="1167"/>
    </row>
    <row r="382" spans="2:30" ht="23.25" customHeight="1" thickBot="1" x14ac:dyDescent="0.25">
      <c r="B382" s="1072" t="s">
        <v>377</v>
      </c>
      <c r="C382" s="1072"/>
      <c r="D382" s="1076" t="s">
        <v>52</v>
      </c>
      <c r="E382" s="1076"/>
      <c r="F382" s="1076" t="s">
        <v>52</v>
      </c>
      <c r="G382" s="1076"/>
      <c r="H382" s="1076" t="s">
        <v>52</v>
      </c>
      <c r="I382" s="1076"/>
      <c r="J382" s="1076" t="s">
        <v>52</v>
      </c>
      <c r="K382" s="1076"/>
      <c r="L382" s="1076" t="s">
        <v>52</v>
      </c>
      <c r="M382" s="1076"/>
      <c r="O382" s="8"/>
      <c r="P382" s="8"/>
      <c r="Q382" s="8"/>
      <c r="R382" s="8"/>
      <c r="S382" s="8"/>
      <c r="U382" s="1084"/>
      <c r="V382" s="1084"/>
      <c r="W382" s="1084"/>
      <c r="X382" s="1084"/>
      <c r="Y382" s="1169"/>
      <c r="Z382" s="1169"/>
      <c r="AA382" s="1169"/>
      <c r="AB382" s="1170"/>
      <c r="AC382" s="1167"/>
      <c r="AD382" s="1167"/>
    </row>
    <row r="383" spans="2:30" ht="18.75" customHeight="1" thickBot="1" x14ac:dyDescent="0.25">
      <c r="B383" s="1072" t="s">
        <v>392</v>
      </c>
      <c r="C383" s="1072"/>
      <c r="D383" s="1076" t="s">
        <v>52</v>
      </c>
      <c r="E383" s="1076"/>
      <c r="F383" s="1076" t="s">
        <v>52</v>
      </c>
      <c r="G383" s="1076"/>
      <c r="H383" s="1076" t="s">
        <v>52</v>
      </c>
      <c r="I383" s="1076"/>
      <c r="J383" s="1076" t="s">
        <v>52</v>
      </c>
      <c r="K383" s="1076"/>
      <c r="L383" s="1076" t="s">
        <v>52</v>
      </c>
      <c r="M383" s="1076"/>
      <c r="O383" s="8"/>
      <c r="P383" s="8"/>
      <c r="Q383" s="8"/>
      <c r="R383" s="8"/>
      <c r="S383" s="8"/>
      <c r="U383" s="1084"/>
      <c r="V383" s="1084"/>
      <c r="W383" s="1084"/>
      <c r="X383" s="1084"/>
      <c r="Y383" s="1169"/>
      <c r="Z383" s="1169"/>
      <c r="AA383" s="1169"/>
      <c r="AB383" s="1170"/>
      <c r="AC383" s="1167"/>
      <c r="AD383" s="1167"/>
    </row>
    <row r="384" spans="2:30" ht="25.5" customHeight="1" thickBot="1" x14ac:dyDescent="0.25">
      <c r="B384" s="1072" t="s">
        <v>1152</v>
      </c>
      <c r="C384" s="1072"/>
      <c r="D384" s="1076">
        <v>0</v>
      </c>
      <c r="E384" s="1076"/>
      <c r="F384" s="1076">
        <v>0</v>
      </c>
      <c r="G384" s="1076"/>
      <c r="H384" s="1077">
        <v>0</v>
      </c>
      <c r="I384" s="1077"/>
      <c r="J384" s="1074">
        <v>0</v>
      </c>
      <c r="K384" s="835"/>
      <c r="L384" s="1075">
        <v>0</v>
      </c>
      <c r="M384" s="1075"/>
      <c r="O384" s="8"/>
      <c r="P384" s="8"/>
      <c r="Q384" s="8"/>
      <c r="R384" s="8"/>
      <c r="S384" s="8"/>
      <c r="U384" s="1084"/>
      <c r="V384" s="1084"/>
      <c r="W384" s="1084"/>
      <c r="X384" s="1084"/>
      <c r="Y384" s="1169"/>
      <c r="Z384" s="1169"/>
      <c r="AA384" s="1169"/>
      <c r="AB384" s="1170"/>
      <c r="AC384" s="1167"/>
      <c r="AD384" s="1167"/>
    </row>
    <row r="385" spans="1:30" ht="35.25" customHeight="1" thickBot="1" x14ac:dyDescent="0.25">
      <c r="B385" s="1072" t="s">
        <v>498</v>
      </c>
      <c r="C385" s="1072"/>
      <c r="D385" s="1076">
        <v>7</v>
      </c>
      <c r="E385" s="1076"/>
      <c r="F385" s="1076">
        <v>7</v>
      </c>
      <c r="G385" s="1076"/>
      <c r="H385" s="1077">
        <v>7</v>
      </c>
      <c r="I385" s="1077"/>
      <c r="J385" s="1074">
        <v>7</v>
      </c>
      <c r="K385" s="835"/>
      <c r="L385" s="1075">
        <v>7</v>
      </c>
      <c r="M385" s="1075"/>
      <c r="O385" s="8"/>
      <c r="P385" s="8"/>
      <c r="Q385" s="8"/>
      <c r="R385" s="8"/>
      <c r="S385" s="8"/>
      <c r="U385" s="239"/>
      <c r="V385" s="239"/>
      <c r="W385" s="239"/>
      <c r="X385" s="239"/>
      <c r="Y385" s="704"/>
      <c r="Z385" s="704"/>
      <c r="AA385" s="704"/>
      <c r="AB385" s="705"/>
      <c r="AC385" s="707"/>
      <c r="AD385" s="707"/>
    </row>
    <row r="386" spans="1:30" ht="27" customHeight="1" thickBot="1" x14ac:dyDescent="0.25">
      <c r="B386" s="1072" t="s">
        <v>632</v>
      </c>
      <c r="C386" s="1072"/>
      <c r="D386" s="1076">
        <v>8</v>
      </c>
      <c r="E386" s="1076"/>
      <c r="F386" s="1076">
        <v>8</v>
      </c>
      <c r="G386" s="1076"/>
      <c r="H386" s="1077">
        <v>8</v>
      </c>
      <c r="I386" s="1077"/>
      <c r="J386" s="1074">
        <v>8</v>
      </c>
      <c r="K386" s="835"/>
      <c r="L386" s="1075">
        <v>8</v>
      </c>
      <c r="M386" s="1075"/>
      <c r="O386" s="8"/>
      <c r="P386" s="8"/>
      <c r="Q386" s="8"/>
      <c r="R386" s="8"/>
      <c r="S386" s="8"/>
      <c r="U386" s="239"/>
      <c r="V386" s="239"/>
      <c r="W386" s="239"/>
      <c r="X386" s="239"/>
      <c r="Y386" s="704"/>
      <c r="Z386" s="704"/>
      <c r="AA386" s="704"/>
      <c r="AB386" s="705"/>
      <c r="AC386" s="707"/>
      <c r="AD386" s="707"/>
    </row>
    <row r="387" spans="1:30" ht="18.75" customHeight="1" thickBot="1" x14ac:dyDescent="0.25">
      <c r="B387" s="1072" t="s">
        <v>303</v>
      </c>
      <c r="C387" s="1072"/>
      <c r="D387" s="1076" t="s">
        <v>52</v>
      </c>
      <c r="E387" s="1076"/>
      <c r="F387" s="1076" t="s">
        <v>52</v>
      </c>
      <c r="G387" s="1076"/>
      <c r="H387" s="1076" t="s">
        <v>52</v>
      </c>
      <c r="I387" s="1076"/>
      <c r="J387" s="1076" t="s">
        <v>52</v>
      </c>
      <c r="K387" s="1076"/>
      <c r="L387" s="1076" t="s">
        <v>52</v>
      </c>
      <c r="M387" s="1076"/>
      <c r="O387" s="8"/>
      <c r="P387" s="8"/>
      <c r="Q387" s="8"/>
      <c r="R387" s="8"/>
      <c r="S387" s="8"/>
      <c r="U387" s="1084"/>
      <c r="V387" s="1084"/>
      <c r="W387" s="1084"/>
      <c r="X387" s="1084"/>
      <c r="Y387" s="1169"/>
      <c r="Z387" s="1169"/>
      <c r="AA387" s="1169"/>
      <c r="AB387" s="1170"/>
      <c r="AC387" s="1167"/>
      <c r="AD387" s="1167"/>
    </row>
    <row r="388" spans="1:30" ht="18.75" customHeight="1" thickBot="1" x14ac:dyDescent="0.25">
      <c r="B388" s="1072" t="s">
        <v>298</v>
      </c>
      <c r="C388" s="1072"/>
      <c r="D388" s="1076" t="s">
        <v>52</v>
      </c>
      <c r="E388" s="1076"/>
      <c r="F388" s="1076" t="s">
        <v>52</v>
      </c>
      <c r="G388" s="1076"/>
      <c r="H388" s="1076" t="s">
        <v>52</v>
      </c>
      <c r="I388" s="1076"/>
      <c r="J388" s="1076" t="s">
        <v>52</v>
      </c>
      <c r="K388" s="1076"/>
      <c r="L388" s="1076" t="s">
        <v>52</v>
      </c>
      <c r="M388" s="1076"/>
      <c r="O388" s="8"/>
      <c r="P388" s="8"/>
      <c r="Q388" s="8"/>
      <c r="R388" s="8"/>
      <c r="S388" s="8"/>
      <c r="U388" s="1084"/>
      <c r="V388" s="1084"/>
      <c r="W388" s="1084"/>
      <c r="X388" s="1084"/>
      <c r="Y388" s="1169"/>
      <c r="Z388" s="1169"/>
      <c r="AA388" s="1169"/>
      <c r="AB388" s="1170"/>
      <c r="AC388" s="1167"/>
      <c r="AD388" s="1167"/>
    </row>
    <row r="389" spans="1:30" ht="18.75" customHeight="1" thickBot="1" x14ac:dyDescent="0.25">
      <c r="B389" s="1072" t="s">
        <v>634</v>
      </c>
      <c r="C389" s="1072"/>
      <c r="D389" s="1076" t="s">
        <v>52</v>
      </c>
      <c r="E389" s="1076"/>
      <c r="F389" s="1076" t="s">
        <v>52</v>
      </c>
      <c r="G389" s="1076"/>
      <c r="H389" s="1076" t="s">
        <v>52</v>
      </c>
      <c r="I389" s="1076"/>
      <c r="J389" s="1076" t="s">
        <v>52</v>
      </c>
      <c r="K389" s="1076"/>
      <c r="L389" s="1076" t="s">
        <v>52</v>
      </c>
      <c r="M389" s="1076"/>
      <c r="O389" s="8"/>
      <c r="P389" s="8"/>
      <c r="Q389" s="8"/>
      <c r="R389" s="8"/>
      <c r="S389" s="8"/>
      <c r="U389" s="1084"/>
      <c r="V389" s="1084"/>
      <c r="W389" s="1084"/>
      <c r="X389" s="1084"/>
      <c r="Y389" s="1169"/>
      <c r="Z389" s="1169"/>
      <c r="AA389" s="1169"/>
      <c r="AB389" s="1170"/>
      <c r="AC389" s="1167"/>
      <c r="AD389" s="1167"/>
    </row>
    <row r="390" spans="1:30" ht="24" customHeight="1" thickBot="1" x14ac:dyDescent="0.25">
      <c r="B390" s="1072" t="s">
        <v>305</v>
      </c>
      <c r="C390" s="1072"/>
      <c r="D390" s="1076" t="s">
        <v>52</v>
      </c>
      <c r="E390" s="1076"/>
      <c r="F390" s="1076" t="s">
        <v>52</v>
      </c>
      <c r="G390" s="1076"/>
      <c r="H390" s="1076" t="s">
        <v>52</v>
      </c>
      <c r="I390" s="1076"/>
      <c r="J390" s="1076" t="s">
        <v>52</v>
      </c>
      <c r="K390" s="1076"/>
      <c r="L390" s="1076" t="s">
        <v>52</v>
      </c>
      <c r="M390" s="1076"/>
      <c r="O390" s="8"/>
      <c r="P390" s="8"/>
      <c r="Q390" s="8"/>
      <c r="R390" s="8"/>
      <c r="S390" s="8"/>
      <c r="U390" s="1084"/>
      <c r="V390" s="1084"/>
      <c r="W390" s="1084"/>
      <c r="X390" s="1084"/>
      <c r="Y390" s="1169"/>
      <c r="Z390" s="1169"/>
      <c r="AA390" s="1169"/>
      <c r="AB390" s="1170"/>
      <c r="AC390" s="1167"/>
      <c r="AD390" s="1167"/>
    </row>
    <row r="391" spans="1:30" ht="36" customHeight="1" thickBot="1" x14ac:dyDescent="0.25">
      <c r="B391" s="1072" t="s">
        <v>1153</v>
      </c>
      <c r="C391" s="1072"/>
      <c r="D391" s="1076" t="s">
        <v>52</v>
      </c>
      <c r="E391" s="1076"/>
      <c r="F391" s="1076" t="s">
        <v>52</v>
      </c>
      <c r="G391" s="1076"/>
      <c r="H391" s="1076" t="s">
        <v>52</v>
      </c>
      <c r="I391" s="1076"/>
      <c r="J391" s="1076" t="s">
        <v>52</v>
      </c>
      <c r="K391" s="1076"/>
      <c r="L391" s="1076" t="s">
        <v>52</v>
      </c>
      <c r="M391" s="1076"/>
      <c r="O391" s="8"/>
      <c r="P391" s="8"/>
      <c r="Q391" s="8"/>
      <c r="R391" s="8"/>
      <c r="S391" s="8"/>
      <c r="U391" s="1084"/>
      <c r="V391" s="1084"/>
      <c r="W391" s="1084"/>
      <c r="X391" s="1084"/>
      <c r="Y391" s="1169"/>
      <c r="Z391" s="1169"/>
      <c r="AA391" s="1169"/>
      <c r="AB391" s="1170"/>
      <c r="AC391" s="1167"/>
      <c r="AD391" s="1167"/>
    </row>
    <row r="392" spans="1:30" ht="18.75" customHeight="1" thickBot="1" x14ac:dyDescent="0.25">
      <c r="B392" s="1072" t="s">
        <v>299</v>
      </c>
      <c r="C392" s="1072"/>
      <c r="D392" s="1076" t="s">
        <v>52</v>
      </c>
      <c r="E392" s="1076"/>
      <c r="F392" s="1076" t="s">
        <v>52</v>
      </c>
      <c r="G392" s="1076"/>
      <c r="H392" s="1076" t="s">
        <v>52</v>
      </c>
      <c r="I392" s="1076"/>
      <c r="J392" s="1076" t="s">
        <v>52</v>
      </c>
      <c r="K392" s="1076"/>
      <c r="L392" s="1076" t="s">
        <v>52</v>
      </c>
      <c r="M392" s="1076"/>
      <c r="O392" s="8"/>
      <c r="P392" s="8"/>
      <c r="Q392" s="8"/>
      <c r="R392" s="8"/>
      <c r="S392" s="8"/>
      <c r="U392" s="1084"/>
      <c r="V392" s="1084"/>
      <c r="W392" s="1084"/>
      <c r="X392" s="1084"/>
      <c r="Y392" s="1169"/>
      <c r="Z392" s="1169"/>
      <c r="AA392" s="1169"/>
      <c r="AB392" s="1170"/>
      <c r="AC392" s="1167"/>
      <c r="AD392" s="1167"/>
    </row>
    <row r="393" spans="1:30" ht="20.25" customHeight="1" thickBot="1" x14ac:dyDescent="0.25">
      <c r="B393" s="1161" t="s">
        <v>550</v>
      </c>
      <c r="C393" s="1161"/>
      <c r="D393" s="1165">
        <v>7.74</v>
      </c>
      <c r="E393" s="1165"/>
      <c r="F393" s="1165">
        <v>7.83</v>
      </c>
      <c r="G393" s="1165"/>
      <c r="H393" s="1165">
        <v>8.1999999999999993</v>
      </c>
      <c r="I393" s="1165"/>
      <c r="J393" s="1165">
        <v>7.96</v>
      </c>
      <c r="K393" s="1165"/>
      <c r="L393" s="1165">
        <v>7.92</v>
      </c>
      <c r="M393" s="1165"/>
      <c r="O393" s="8"/>
      <c r="P393" s="8"/>
      <c r="Q393" s="8"/>
      <c r="R393" s="8"/>
      <c r="S393" s="8"/>
      <c r="U393" s="1168"/>
      <c r="V393" s="1168"/>
      <c r="W393" s="1168"/>
      <c r="X393" s="1168"/>
      <c r="Y393" s="1168"/>
      <c r="Z393" s="1168"/>
      <c r="AA393" s="1168"/>
      <c r="AB393" s="1168"/>
      <c r="AC393" s="1168"/>
      <c r="AD393" s="1168"/>
    </row>
    <row r="394" spans="1:30" x14ac:dyDescent="0.2">
      <c r="B394" s="899" t="s">
        <v>1483</v>
      </c>
      <c r="C394" s="899"/>
      <c r="K394" s="8"/>
      <c r="L394" s="8"/>
      <c r="M394" s="8"/>
    </row>
    <row r="395" spans="1:30" x14ac:dyDescent="0.2">
      <c r="B395" s="41" t="s">
        <v>1479</v>
      </c>
    </row>
    <row r="396" spans="1:30" x14ac:dyDescent="0.2">
      <c r="B396" s="41"/>
    </row>
    <row r="397" spans="1:30" x14ac:dyDescent="0.2">
      <c r="B397" s="41"/>
    </row>
    <row r="398" spans="1:30" x14ac:dyDescent="0.2">
      <c r="B398" s="46" t="s">
        <v>1166</v>
      </c>
      <c r="C398" s="46"/>
      <c r="D398" s="46"/>
      <c r="E398" s="46"/>
      <c r="F398" s="709"/>
      <c r="G398" s="46"/>
      <c r="H398" s="46"/>
      <c r="J398" s="49"/>
    </row>
    <row r="399" spans="1:30" x14ac:dyDescent="0.2">
      <c r="B399" s="752" t="s">
        <v>2</v>
      </c>
      <c r="C399" s="752"/>
      <c r="D399" s="506" t="s">
        <v>456</v>
      </c>
      <c r="E399" s="506" t="s">
        <v>336</v>
      </c>
      <c r="F399" s="506" t="s">
        <v>454</v>
      </c>
    </row>
    <row r="400" spans="1:30" ht="15.75" customHeight="1" thickBot="1" x14ac:dyDescent="0.25">
      <c r="A400" s="1066"/>
      <c r="B400" s="1044" t="s">
        <v>7</v>
      </c>
      <c r="C400" s="1044"/>
      <c r="D400" s="608">
        <v>50</v>
      </c>
      <c r="E400" s="608">
        <v>28</v>
      </c>
      <c r="F400" s="609">
        <v>0.56000000000000005</v>
      </c>
      <c r="H400" s="650"/>
      <c r="I400" s="650"/>
      <c r="J400" s="683"/>
    </row>
    <row r="401" spans="1:25" ht="15.75" customHeight="1" thickBot="1" x14ac:dyDescent="0.25">
      <c r="A401" s="1066"/>
      <c r="B401" s="1116" t="s">
        <v>8</v>
      </c>
      <c r="C401" s="1116"/>
      <c r="D401" s="610">
        <v>141</v>
      </c>
      <c r="E401" s="610">
        <v>59</v>
      </c>
      <c r="F401" s="611">
        <v>0.41799999999999998</v>
      </c>
      <c r="H401" s="650"/>
      <c r="I401" s="650"/>
      <c r="J401" s="683"/>
    </row>
    <row r="402" spans="1:25" x14ac:dyDescent="0.2">
      <c r="B402" s="37"/>
    </row>
    <row r="403" spans="1:25" ht="15" customHeight="1" x14ac:dyDescent="0.2">
      <c r="G403" s="1012" t="s">
        <v>455</v>
      </c>
      <c r="H403" s="1012"/>
      <c r="I403" s="1012"/>
      <c r="J403" s="1012"/>
    </row>
    <row r="404" spans="1:25" ht="15" customHeight="1" x14ac:dyDescent="0.2">
      <c r="B404" s="1012" t="s">
        <v>446</v>
      </c>
      <c r="C404" s="1012"/>
      <c r="D404" s="1012" t="s">
        <v>31</v>
      </c>
      <c r="E404" s="1012"/>
      <c r="F404" s="1012"/>
      <c r="G404" s="1131" t="s">
        <v>908</v>
      </c>
      <c r="H404" s="1131"/>
      <c r="I404" s="1131" t="s">
        <v>462</v>
      </c>
      <c r="J404" s="1131"/>
    </row>
    <row r="405" spans="1:25" ht="38.25" customHeight="1" thickBot="1" x14ac:dyDescent="0.25">
      <c r="B405" s="1117" t="s">
        <v>666</v>
      </c>
      <c r="C405" s="1117"/>
      <c r="D405" s="1057" t="s">
        <v>793</v>
      </c>
      <c r="E405" s="1057"/>
      <c r="F405" s="1057"/>
      <c r="G405" s="1121">
        <v>7.3</v>
      </c>
      <c r="H405" s="1121"/>
      <c r="I405" s="1121">
        <v>7.6</v>
      </c>
      <c r="J405" s="1121"/>
      <c r="N405" s="8"/>
      <c r="O405" s="8"/>
      <c r="Q405" s="1084"/>
      <c r="R405" s="1084"/>
      <c r="S405" s="1084"/>
      <c r="T405" s="1084"/>
      <c r="V405" s="1180"/>
      <c r="W405" s="1180"/>
      <c r="X405" s="1180"/>
      <c r="Y405" s="1180"/>
    </row>
    <row r="406" spans="1:25" ht="44.25" customHeight="1" thickBot="1" x14ac:dyDescent="0.25">
      <c r="B406" s="1118"/>
      <c r="C406" s="1118"/>
      <c r="D406" s="983" t="s">
        <v>794</v>
      </c>
      <c r="E406" s="983"/>
      <c r="F406" s="983"/>
      <c r="G406" s="1073">
        <v>6.3</v>
      </c>
      <c r="H406" s="1073"/>
      <c r="I406" s="1073">
        <v>6.4</v>
      </c>
      <c r="J406" s="1073"/>
      <c r="N406" s="8"/>
      <c r="O406" s="8"/>
      <c r="Q406" s="1084"/>
      <c r="R406" s="1084"/>
      <c r="S406" s="1084"/>
      <c r="T406" s="1084"/>
      <c r="V406" s="1180"/>
      <c r="W406" s="1180"/>
      <c r="X406" s="1180"/>
      <c r="Y406" s="1180"/>
    </row>
    <row r="407" spans="1:25" ht="42" customHeight="1" thickBot="1" x14ac:dyDescent="0.25">
      <c r="B407" s="1118"/>
      <c r="C407" s="1118"/>
      <c r="D407" s="983" t="s">
        <v>781</v>
      </c>
      <c r="E407" s="983"/>
      <c r="F407" s="983"/>
      <c r="G407" s="1073">
        <v>6.7</v>
      </c>
      <c r="H407" s="1073"/>
      <c r="I407" s="1073">
        <v>6.1</v>
      </c>
      <c r="J407" s="1073"/>
      <c r="N407" s="8"/>
      <c r="O407" s="8"/>
      <c r="Q407" s="1084"/>
      <c r="R407" s="1084"/>
      <c r="S407" s="1084"/>
      <c r="T407" s="1084"/>
      <c r="V407" s="1180"/>
      <c r="W407" s="1180"/>
      <c r="X407" s="1180"/>
      <c r="Y407" s="1180"/>
    </row>
    <row r="408" spans="1:25" ht="24.75" customHeight="1" thickBot="1" x14ac:dyDescent="0.25">
      <c r="B408" s="1118"/>
      <c r="C408" s="1118"/>
      <c r="D408" s="983" t="s">
        <v>782</v>
      </c>
      <c r="E408" s="983"/>
      <c r="F408" s="983"/>
      <c r="G408" s="1073">
        <v>6.8</v>
      </c>
      <c r="H408" s="1073"/>
      <c r="I408" s="1073">
        <v>7.2</v>
      </c>
      <c r="J408" s="1073"/>
      <c r="N408" s="8"/>
      <c r="O408" s="8"/>
      <c r="Q408" s="1084"/>
      <c r="R408" s="1084"/>
      <c r="S408" s="1084"/>
      <c r="T408" s="1084"/>
      <c r="V408" s="1180"/>
      <c r="W408" s="1180"/>
      <c r="X408" s="1180"/>
      <c r="Y408" s="1180"/>
    </row>
    <row r="409" spans="1:25" ht="37.5" customHeight="1" thickBot="1" x14ac:dyDescent="0.25">
      <c r="B409" s="1118"/>
      <c r="C409" s="1118"/>
      <c r="D409" s="983" t="s">
        <v>783</v>
      </c>
      <c r="E409" s="983"/>
      <c r="F409" s="983"/>
      <c r="G409" s="1073">
        <v>6.7</v>
      </c>
      <c r="H409" s="1073"/>
      <c r="I409" s="1073">
        <v>6.7</v>
      </c>
      <c r="J409" s="1073"/>
      <c r="N409" s="8"/>
      <c r="O409" s="8"/>
      <c r="Q409" s="1084"/>
      <c r="R409" s="1084"/>
      <c r="S409" s="1084"/>
      <c r="T409" s="1084"/>
      <c r="V409" s="1180"/>
      <c r="W409" s="1180"/>
      <c r="X409" s="1180"/>
      <c r="Y409" s="1180"/>
    </row>
    <row r="410" spans="1:25" ht="36" customHeight="1" thickBot="1" x14ac:dyDescent="0.25">
      <c r="B410" s="1118"/>
      <c r="C410" s="1118"/>
      <c r="D410" s="983" t="s">
        <v>784</v>
      </c>
      <c r="E410" s="983"/>
      <c r="F410" s="983"/>
      <c r="G410" s="1073">
        <v>6.3</v>
      </c>
      <c r="H410" s="1073"/>
      <c r="I410" s="1073">
        <v>6.6</v>
      </c>
      <c r="J410" s="1073"/>
      <c r="N410" s="8"/>
      <c r="O410" s="8"/>
      <c r="Q410" s="1084"/>
      <c r="R410" s="1084"/>
      <c r="S410" s="1084"/>
      <c r="T410" s="1084"/>
      <c r="V410" s="1180"/>
      <c r="W410" s="1180"/>
      <c r="X410" s="1180"/>
      <c r="Y410" s="1180"/>
    </row>
    <row r="411" spans="1:25" ht="35.25" customHeight="1" thickBot="1" x14ac:dyDescent="0.25">
      <c r="B411" s="1118"/>
      <c r="C411" s="1118"/>
      <c r="D411" s="983" t="s">
        <v>786</v>
      </c>
      <c r="E411" s="983"/>
      <c r="F411" s="983"/>
      <c r="G411" s="1073">
        <v>6.6</v>
      </c>
      <c r="H411" s="1073"/>
      <c r="I411" s="1073">
        <v>4.9000000000000004</v>
      </c>
      <c r="J411" s="1073"/>
      <c r="N411" s="8"/>
      <c r="O411" s="8"/>
      <c r="Q411" s="1084"/>
      <c r="R411" s="1084"/>
      <c r="S411" s="1084"/>
      <c r="T411" s="1084"/>
      <c r="V411" s="1180"/>
      <c r="W411" s="1180"/>
      <c r="X411" s="1180"/>
      <c r="Y411" s="1180"/>
    </row>
    <row r="412" spans="1:25" ht="45" customHeight="1" thickBot="1" x14ac:dyDescent="0.25">
      <c r="B412" s="1176" t="s">
        <v>1445</v>
      </c>
      <c r="C412" s="1176"/>
      <c r="D412" s="1085" t="s">
        <v>788</v>
      </c>
      <c r="E412" s="1085"/>
      <c r="F412" s="1085"/>
      <c r="G412" s="1086">
        <v>7.1</v>
      </c>
      <c r="H412" s="1086"/>
      <c r="I412" s="1086">
        <v>4.8</v>
      </c>
      <c r="J412" s="1086"/>
      <c r="N412" s="8"/>
      <c r="O412" s="8"/>
      <c r="Q412" s="1084"/>
      <c r="R412" s="1084"/>
      <c r="S412" s="1084"/>
      <c r="T412" s="1084"/>
      <c r="V412" s="1180"/>
      <c r="W412" s="1180"/>
      <c r="X412" s="1180"/>
      <c r="Y412" s="1180"/>
    </row>
    <row r="413" spans="1:25" ht="45.75" customHeight="1" thickBot="1" x14ac:dyDescent="0.25">
      <c r="B413" s="1177"/>
      <c r="C413" s="1177"/>
      <c r="D413" s="983" t="s">
        <v>789</v>
      </c>
      <c r="E413" s="983"/>
      <c r="F413" s="983"/>
      <c r="G413" s="1073">
        <v>6</v>
      </c>
      <c r="H413" s="1073"/>
      <c r="I413" s="1073">
        <v>5.9</v>
      </c>
      <c r="J413" s="1073"/>
      <c r="N413" s="8"/>
      <c r="O413" s="8"/>
      <c r="Q413" s="1084"/>
      <c r="R413" s="1084"/>
      <c r="S413" s="1084"/>
      <c r="T413" s="1084"/>
      <c r="V413" s="1180"/>
      <c r="W413" s="1180"/>
      <c r="X413" s="1180"/>
      <c r="Y413" s="1180"/>
    </row>
    <row r="414" spans="1:25" ht="63" customHeight="1" thickBot="1" x14ac:dyDescent="0.25">
      <c r="B414" s="1177"/>
      <c r="C414" s="1177"/>
      <c r="D414" s="983" t="s">
        <v>790</v>
      </c>
      <c r="E414" s="983"/>
      <c r="F414" s="983"/>
      <c r="G414" s="1073">
        <v>7.1</v>
      </c>
      <c r="H414" s="1073"/>
      <c r="I414" s="1073">
        <v>6.9</v>
      </c>
      <c r="J414" s="1073"/>
      <c r="N414" s="8"/>
      <c r="O414" s="8"/>
      <c r="Q414" s="1084"/>
      <c r="R414" s="1084"/>
      <c r="S414" s="1084"/>
      <c r="T414" s="1084"/>
      <c r="V414" s="1180"/>
      <c r="W414" s="1180"/>
      <c r="X414" s="1180"/>
      <c r="Y414" s="1180"/>
    </row>
    <row r="415" spans="1:25" ht="35.25" customHeight="1" thickBot="1" x14ac:dyDescent="0.25">
      <c r="B415" s="1177"/>
      <c r="C415" s="1177"/>
      <c r="D415" s="983" t="s">
        <v>791</v>
      </c>
      <c r="E415" s="983"/>
      <c r="F415" s="983"/>
      <c r="G415" s="1073">
        <v>7.1</v>
      </c>
      <c r="H415" s="1073"/>
      <c r="I415" s="1073">
        <v>6.4</v>
      </c>
      <c r="J415" s="1073"/>
      <c r="N415" s="8"/>
      <c r="O415" s="8"/>
      <c r="Q415" s="1084"/>
      <c r="R415" s="1084"/>
      <c r="S415" s="1084"/>
      <c r="T415" s="1084"/>
      <c r="V415" s="1180"/>
      <c r="W415" s="1180"/>
      <c r="X415" s="1180"/>
      <c r="Y415" s="1180"/>
    </row>
    <row r="416" spans="1:25" ht="32.25" customHeight="1" thickBot="1" x14ac:dyDescent="0.25">
      <c r="B416" s="1177"/>
      <c r="C416" s="1177"/>
      <c r="D416" s="983" t="s">
        <v>792</v>
      </c>
      <c r="E416" s="983"/>
      <c r="F416" s="983"/>
      <c r="G416" s="1073">
        <v>7.1</v>
      </c>
      <c r="H416" s="1073"/>
      <c r="I416" s="1073">
        <v>7</v>
      </c>
      <c r="J416" s="1073"/>
      <c r="N416" s="8"/>
      <c r="O416" s="8"/>
      <c r="Q416" s="1084"/>
      <c r="R416" s="1084"/>
      <c r="S416" s="1084"/>
      <c r="T416" s="1084"/>
      <c r="V416" s="1180"/>
      <c r="W416" s="1180"/>
      <c r="X416" s="1180"/>
      <c r="Y416" s="1180"/>
    </row>
    <row r="417" spans="2:25" ht="35.25" customHeight="1" thickBot="1" x14ac:dyDescent="0.25">
      <c r="B417" s="1178"/>
      <c r="C417" s="1178"/>
      <c r="D417" s="1132" t="s">
        <v>787</v>
      </c>
      <c r="E417" s="1132"/>
      <c r="F417" s="1132"/>
      <c r="G417" s="1115">
        <v>7.3</v>
      </c>
      <c r="H417" s="1115"/>
      <c r="I417" s="1115">
        <v>6.3</v>
      </c>
      <c r="J417" s="1115"/>
      <c r="N417" s="8"/>
      <c r="O417" s="8"/>
      <c r="Q417" s="1084"/>
      <c r="R417" s="1084"/>
      <c r="S417" s="1084"/>
      <c r="T417" s="1084"/>
      <c r="V417" s="1180"/>
      <c r="W417" s="1180"/>
      <c r="X417" s="1180"/>
      <c r="Y417" s="1180"/>
    </row>
    <row r="418" spans="2:25" ht="43.5" customHeight="1" thickBot="1" x14ac:dyDescent="0.25">
      <c r="B418" s="1129" t="s">
        <v>1444</v>
      </c>
      <c r="C418" s="1129"/>
      <c r="D418" s="1085" t="s">
        <v>1454</v>
      </c>
      <c r="E418" s="1085"/>
      <c r="F418" s="1085"/>
      <c r="G418" s="1086">
        <v>7.5</v>
      </c>
      <c r="H418" s="1086"/>
      <c r="I418" s="1086">
        <v>7.1</v>
      </c>
      <c r="J418" s="1086"/>
      <c r="N418" s="8"/>
      <c r="O418" s="8"/>
      <c r="Q418" s="1084"/>
      <c r="R418" s="1084"/>
      <c r="S418" s="1084"/>
      <c r="T418" s="1084"/>
      <c r="V418" s="1180"/>
      <c r="W418" s="1180"/>
      <c r="X418" s="1180"/>
      <c r="Y418" s="1180"/>
    </row>
    <row r="419" spans="2:25" ht="42.75" customHeight="1" thickBot="1" x14ac:dyDescent="0.25">
      <c r="B419" s="1118"/>
      <c r="C419" s="1118"/>
      <c r="D419" s="983" t="s">
        <v>1455</v>
      </c>
      <c r="E419" s="983"/>
      <c r="F419" s="983"/>
      <c r="G419" s="1073">
        <v>6</v>
      </c>
      <c r="H419" s="1073"/>
      <c r="I419" s="1073">
        <v>6.7</v>
      </c>
      <c r="J419" s="1073"/>
      <c r="N419" s="8"/>
      <c r="O419" s="8"/>
      <c r="Q419" s="1084"/>
      <c r="R419" s="1084"/>
      <c r="S419" s="1084"/>
      <c r="T419" s="1084"/>
      <c r="V419" s="1180"/>
      <c r="W419" s="1180"/>
      <c r="X419" s="1180"/>
      <c r="Y419" s="1180"/>
    </row>
    <row r="420" spans="2:25" ht="42.75" customHeight="1" thickBot="1" x14ac:dyDescent="0.25">
      <c r="B420" s="1118"/>
      <c r="C420" s="1118"/>
      <c r="D420" s="983" t="s">
        <v>1456</v>
      </c>
      <c r="E420" s="983"/>
      <c r="F420" s="983"/>
      <c r="G420" s="1073">
        <v>7.1</v>
      </c>
      <c r="H420" s="1073"/>
      <c r="I420" s="1073">
        <v>7.7</v>
      </c>
      <c r="J420" s="1073"/>
      <c r="N420" s="8"/>
      <c r="O420" s="8"/>
      <c r="Q420" s="1084"/>
      <c r="R420" s="1084"/>
      <c r="S420" s="1084"/>
      <c r="T420" s="1084"/>
      <c r="V420" s="1180"/>
      <c r="W420" s="1180"/>
      <c r="X420" s="1180"/>
      <c r="Y420" s="1180"/>
    </row>
    <row r="421" spans="2:25" ht="79.5" customHeight="1" thickBot="1" x14ac:dyDescent="0.25">
      <c r="B421" s="1118"/>
      <c r="C421" s="1118"/>
      <c r="D421" s="983" t="s">
        <v>1457</v>
      </c>
      <c r="E421" s="983"/>
      <c r="F421" s="983"/>
      <c r="G421" s="1073">
        <v>7.3</v>
      </c>
      <c r="H421" s="1073"/>
      <c r="I421" s="1073">
        <v>7.9</v>
      </c>
      <c r="J421" s="1073"/>
      <c r="N421" s="8"/>
      <c r="O421" s="8"/>
      <c r="Q421" s="1084"/>
      <c r="R421" s="1084"/>
      <c r="S421" s="1084"/>
      <c r="T421" s="1084"/>
      <c r="V421" s="1180"/>
      <c r="W421" s="1180"/>
      <c r="X421" s="1180"/>
      <c r="Y421" s="1180"/>
    </row>
    <row r="422" spans="2:25" ht="42" customHeight="1" thickBot="1" x14ac:dyDescent="0.25">
      <c r="B422" s="1118"/>
      <c r="C422" s="1118"/>
      <c r="D422" s="983" t="s">
        <v>1458</v>
      </c>
      <c r="E422" s="983"/>
      <c r="F422" s="983"/>
      <c r="G422" s="1073">
        <v>7.4</v>
      </c>
      <c r="H422" s="1073"/>
      <c r="I422" s="1073">
        <v>8.1999999999999993</v>
      </c>
      <c r="J422" s="1073"/>
      <c r="N422" s="8"/>
      <c r="O422" s="8"/>
      <c r="Q422" s="1084"/>
      <c r="R422" s="1084"/>
      <c r="S422" s="1084"/>
      <c r="T422" s="1084"/>
      <c r="V422" s="1180"/>
      <c r="W422" s="1180"/>
      <c r="X422" s="1180"/>
      <c r="Y422" s="1180"/>
    </row>
    <row r="423" spans="2:25" ht="48" customHeight="1" thickBot="1" x14ac:dyDescent="0.25">
      <c r="B423" s="1130"/>
      <c r="C423" s="1130"/>
      <c r="D423" s="1132" t="s">
        <v>1459</v>
      </c>
      <c r="E423" s="1132"/>
      <c r="F423" s="1132"/>
      <c r="G423" s="1115">
        <v>7.2</v>
      </c>
      <c r="H423" s="1115"/>
      <c r="I423" s="1115">
        <v>6.1</v>
      </c>
      <c r="J423" s="1115"/>
      <c r="N423" s="8"/>
      <c r="O423" s="8"/>
      <c r="Q423" s="1084"/>
      <c r="R423" s="1084"/>
      <c r="S423" s="1084"/>
      <c r="T423" s="1084"/>
      <c r="V423" s="1180"/>
      <c r="W423" s="1180"/>
      <c r="X423" s="1180"/>
      <c r="Y423" s="1180"/>
    </row>
    <row r="424" spans="2:25" ht="16" thickBot="1" x14ac:dyDescent="0.25">
      <c r="B424" s="572" t="s">
        <v>785</v>
      </c>
      <c r="C424" s="572"/>
      <c r="D424" s="572"/>
      <c r="E424" s="572"/>
      <c r="F424" s="572"/>
      <c r="G424" s="1086">
        <v>7.6</v>
      </c>
      <c r="H424" s="1086"/>
      <c r="I424" s="1086">
        <v>7.9</v>
      </c>
      <c r="J424" s="1086"/>
      <c r="N424" s="8"/>
      <c r="O424" s="8"/>
      <c r="Q424" s="1084"/>
      <c r="R424" s="1084"/>
      <c r="S424" s="1084"/>
      <c r="T424" s="1084"/>
      <c r="V424" s="1180"/>
      <c r="W424" s="1180"/>
      <c r="X424" s="1180"/>
      <c r="Y424" s="1180"/>
    </row>
    <row r="425" spans="2:25" ht="16" thickBot="1" x14ac:dyDescent="0.25">
      <c r="B425" s="571" t="s">
        <v>667</v>
      </c>
      <c r="C425" s="571"/>
      <c r="D425" s="571"/>
      <c r="E425" s="571"/>
      <c r="F425" s="571"/>
      <c r="G425" s="1113">
        <v>0.78600000000000003</v>
      </c>
      <c r="H425" s="1113"/>
      <c r="I425" s="1113">
        <v>0.61</v>
      </c>
      <c r="J425" s="1113"/>
      <c r="K425" s="6"/>
      <c r="L425" s="670"/>
      <c r="N425" s="706"/>
      <c r="O425" s="706"/>
      <c r="Q425" s="1119"/>
      <c r="R425" s="1119"/>
      <c r="S425" s="1119"/>
      <c r="T425" s="1119"/>
      <c r="V425" s="1180"/>
      <c r="W425" s="1180"/>
      <c r="X425" s="1180"/>
      <c r="Y425" s="1180"/>
    </row>
    <row r="426" spans="2:25" ht="16" thickBot="1" x14ac:dyDescent="0.25">
      <c r="B426" s="245" t="s">
        <v>668</v>
      </c>
      <c r="C426" s="245"/>
      <c r="D426" s="245"/>
      <c r="E426" s="245"/>
      <c r="F426" s="245"/>
      <c r="G426" s="1114">
        <v>0.75</v>
      </c>
      <c r="H426" s="1114"/>
      <c r="I426" s="1114">
        <v>0.94899999999999995</v>
      </c>
      <c r="J426" s="1114"/>
      <c r="K426" s="6"/>
      <c r="L426" s="6"/>
      <c r="N426" s="706"/>
      <c r="O426" s="706"/>
      <c r="Q426" s="1119"/>
      <c r="R426" s="1119"/>
      <c r="S426" s="1119"/>
      <c r="T426" s="1119"/>
      <c r="V426" s="1180"/>
      <c r="W426" s="1180"/>
      <c r="X426" s="1180"/>
      <c r="Y426" s="1180"/>
    </row>
    <row r="427" spans="2:25" x14ac:dyDescent="0.2">
      <c r="B427" s="899" t="s">
        <v>1483</v>
      </c>
      <c r="C427" s="899"/>
    </row>
    <row r="428" spans="2:25" x14ac:dyDescent="0.2">
      <c r="B428" s="40" t="s">
        <v>795</v>
      </c>
      <c r="C428" s="40"/>
    </row>
    <row r="429" spans="2:25" x14ac:dyDescent="0.2">
      <c r="B429" s="41"/>
    </row>
    <row r="430" spans="2:25" x14ac:dyDescent="0.2">
      <c r="B430" s="41"/>
    </row>
    <row r="431" spans="2:25" x14ac:dyDescent="0.2">
      <c r="B431" s="46" t="s">
        <v>841</v>
      </c>
      <c r="C431" s="46"/>
      <c r="D431" s="46"/>
      <c r="G431" t="s">
        <v>930</v>
      </c>
    </row>
    <row r="432" spans="2:25" x14ac:dyDescent="0.2">
      <c r="B432" s="752" t="s">
        <v>2</v>
      </c>
      <c r="C432" s="752"/>
      <c r="D432" s="505" t="s">
        <v>456</v>
      </c>
      <c r="E432" s="505" t="s">
        <v>336</v>
      </c>
      <c r="F432" s="505" t="s">
        <v>454</v>
      </c>
    </row>
    <row r="433" spans="2:12" ht="15.75" customHeight="1" thickBot="1" x14ac:dyDescent="0.25">
      <c r="B433" s="1133" t="s">
        <v>7</v>
      </c>
      <c r="C433" s="1133"/>
      <c r="D433" s="252">
        <v>26</v>
      </c>
      <c r="E433" s="252">
        <v>16</v>
      </c>
      <c r="F433" s="591">
        <f>E433/D433</f>
        <v>0.61538461538461542</v>
      </c>
      <c r="I433" s="650"/>
      <c r="J433" s="650"/>
      <c r="K433" s="710"/>
    </row>
    <row r="434" spans="2:12" ht="15.75" customHeight="1" thickBot="1" x14ac:dyDescent="0.25">
      <c r="B434" s="1134" t="s">
        <v>8</v>
      </c>
      <c r="C434" s="1134"/>
      <c r="D434" s="269">
        <v>31</v>
      </c>
      <c r="E434" s="269">
        <v>17</v>
      </c>
      <c r="F434" s="243">
        <f>E434/D434</f>
        <v>0.54838709677419351</v>
      </c>
      <c r="I434" s="650"/>
      <c r="J434" s="650"/>
      <c r="K434" s="683"/>
    </row>
    <row r="435" spans="2:12" x14ac:dyDescent="0.2">
      <c r="B435" s="37"/>
    </row>
    <row r="436" spans="2:12" x14ac:dyDescent="0.2">
      <c r="B436" s="37"/>
    </row>
    <row r="437" spans="2:12" x14ac:dyDescent="0.2">
      <c r="B437" s="46" t="s">
        <v>1007</v>
      </c>
      <c r="C437" s="46"/>
      <c r="D437" s="46"/>
    </row>
    <row r="438" spans="2:12" ht="22.5" customHeight="1" x14ac:dyDescent="0.2">
      <c r="B438" s="1012" t="s">
        <v>1009</v>
      </c>
      <c r="C438" s="1012"/>
      <c r="D438" s="508" t="s">
        <v>29</v>
      </c>
      <c r="E438" s="508" t="s">
        <v>28</v>
      </c>
      <c r="F438" s="508" t="s">
        <v>1008</v>
      </c>
      <c r="G438" s="508" t="s">
        <v>78</v>
      </c>
    </row>
    <row r="439" spans="2:12" ht="27.75" customHeight="1" thickBot="1" x14ac:dyDescent="0.25">
      <c r="B439" s="1011" t="s">
        <v>636</v>
      </c>
      <c r="C439" s="1011"/>
      <c r="D439" s="541">
        <v>7</v>
      </c>
      <c r="E439" s="541">
        <v>6.1538461538461542</v>
      </c>
      <c r="F439" s="541"/>
      <c r="G439" s="628">
        <v>6.3125</v>
      </c>
      <c r="I439" s="699"/>
      <c r="J439" s="699"/>
      <c r="K439" s="699"/>
      <c r="L439" s="712"/>
    </row>
    <row r="440" spans="2:12" ht="37.5" customHeight="1" thickBot="1" x14ac:dyDescent="0.25">
      <c r="B440" s="1011" t="s">
        <v>637</v>
      </c>
      <c r="C440" s="1011"/>
      <c r="D440" s="541">
        <v>7.333333333333333</v>
      </c>
      <c r="E440" s="541">
        <v>7.5384615384615383</v>
      </c>
      <c r="F440" s="541"/>
      <c r="G440" s="628">
        <v>7.5</v>
      </c>
      <c r="I440" s="699"/>
      <c r="J440" s="699"/>
      <c r="K440" s="699"/>
      <c r="L440" s="712"/>
    </row>
    <row r="441" spans="2:12" ht="33" customHeight="1" thickBot="1" x14ac:dyDescent="0.25">
      <c r="B441" s="1011" t="s">
        <v>638</v>
      </c>
      <c r="C441" s="1011"/>
      <c r="D441" s="541">
        <v>8.3333333333333339</v>
      </c>
      <c r="E441" s="541">
        <v>7.615384615384615</v>
      </c>
      <c r="F441" s="541"/>
      <c r="G441" s="628">
        <v>7.75</v>
      </c>
      <c r="I441" s="699"/>
      <c r="J441" s="699"/>
      <c r="K441" s="699"/>
      <c r="L441" s="712"/>
    </row>
    <row r="442" spans="2:12" ht="48" customHeight="1" thickBot="1" x14ac:dyDescent="0.25">
      <c r="B442" s="1011" t="s">
        <v>639</v>
      </c>
      <c r="C442" s="1011"/>
      <c r="D442" s="541">
        <v>9.6666666666666661</v>
      </c>
      <c r="E442" s="541">
        <v>7.9230769230769234</v>
      </c>
      <c r="F442" s="541"/>
      <c r="G442" s="628">
        <v>8.25</v>
      </c>
      <c r="I442" s="699"/>
      <c r="J442" s="699"/>
      <c r="K442" s="699"/>
      <c r="L442" s="712"/>
    </row>
    <row r="443" spans="2:12" ht="27.75" customHeight="1" thickBot="1" x14ac:dyDescent="0.25">
      <c r="B443" s="1011" t="s">
        <v>640</v>
      </c>
      <c r="C443" s="1011"/>
      <c r="D443" s="541">
        <v>8.3333333333333339</v>
      </c>
      <c r="E443" s="541">
        <v>8.3076923076923084</v>
      </c>
      <c r="F443" s="541"/>
      <c r="G443" s="628">
        <v>8.3125</v>
      </c>
      <c r="I443" s="699"/>
      <c r="J443" s="699"/>
      <c r="K443" s="699"/>
      <c r="L443" s="712"/>
    </row>
    <row r="444" spans="2:12" ht="27" customHeight="1" thickBot="1" x14ac:dyDescent="0.25">
      <c r="B444" s="1011" t="s">
        <v>641</v>
      </c>
      <c r="C444" s="1011"/>
      <c r="D444" s="541">
        <v>8.3333333333333339</v>
      </c>
      <c r="E444" s="541">
        <v>8.1538461538461533</v>
      </c>
      <c r="F444" s="541"/>
      <c r="G444" s="628">
        <v>8.1875</v>
      </c>
      <c r="I444" s="699"/>
      <c r="J444" s="699"/>
      <c r="K444" s="699"/>
      <c r="L444" s="712"/>
    </row>
    <row r="445" spans="2:12" ht="23.25" customHeight="1" thickBot="1" x14ac:dyDescent="0.25">
      <c r="B445" s="1011" t="s">
        <v>642</v>
      </c>
      <c r="C445" s="1011"/>
      <c r="D445" s="541">
        <v>5.666666666666667</v>
      </c>
      <c r="E445" s="541">
        <v>5.7692307692307692</v>
      </c>
      <c r="F445" s="541"/>
      <c r="G445" s="628">
        <v>5.75</v>
      </c>
      <c r="I445" s="699"/>
      <c r="J445" s="699"/>
      <c r="K445" s="699"/>
      <c r="L445" s="712"/>
    </row>
    <row r="446" spans="2:12" ht="23.25" customHeight="1" thickBot="1" x14ac:dyDescent="0.25">
      <c r="B446" s="1011" t="s">
        <v>643</v>
      </c>
      <c r="C446" s="1011"/>
      <c r="D446" s="541">
        <v>6.333333333333333</v>
      </c>
      <c r="E446" s="541">
        <v>6.9230769230769234</v>
      </c>
      <c r="F446" s="541"/>
      <c r="G446" s="628">
        <v>6.8125</v>
      </c>
      <c r="I446" s="699"/>
      <c r="J446" s="699"/>
      <c r="K446" s="699"/>
      <c r="L446" s="712"/>
    </row>
    <row r="447" spans="2:12" ht="46.5" customHeight="1" thickBot="1" x14ac:dyDescent="0.25">
      <c r="B447" s="1011" t="s">
        <v>644</v>
      </c>
      <c r="C447" s="1011"/>
      <c r="D447" s="541">
        <v>8</v>
      </c>
      <c r="E447" s="541">
        <v>7.1538461538461542</v>
      </c>
      <c r="F447" s="541"/>
      <c r="G447" s="628">
        <v>7.3125</v>
      </c>
      <c r="I447" s="699"/>
      <c r="J447" s="699"/>
      <c r="K447" s="699"/>
      <c r="L447" s="712"/>
    </row>
    <row r="448" spans="2:12" ht="36" customHeight="1" thickBot="1" x14ac:dyDescent="0.25">
      <c r="B448" s="1011" t="s">
        <v>645</v>
      </c>
      <c r="C448" s="1011"/>
      <c r="D448" s="541">
        <v>7.666666666666667</v>
      </c>
      <c r="E448" s="541">
        <v>7.2307692307692308</v>
      </c>
      <c r="F448" s="541"/>
      <c r="G448" s="628">
        <v>7.3125</v>
      </c>
      <c r="I448" s="699"/>
      <c r="J448" s="699"/>
      <c r="K448" s="699"/>
      <c r="L448" s="712"/>
    </row>
    <row r="449" spans="2:12" ht="27" customHeight="1" thickBot="1" x14ac:dyDescent="0.25">
      <c r="B449" s="1011" t="s">
        <v>1480</v>
      </c>
      <c r="C449" s="1011"/>
      <c r="D449" s="541">
        <v>7.666666666666667</v>
      </c>
      <c r="E449" s="541">
        <v>7.0769230769230766</v>
      </c>
      <c r="F449" s="541"/>
      <c r="G449" s="628">
        <v>7.1875</v>
      </c>
      <c r="I449" s="699"/>
      <c r="J449" s="699"/>
      <c r="K449" s="699"/>
      <c r="L449" s="712"/>
    </row>
    <row r="450" spans="2:12" ht="33" customHeight="1" thickBot="1" x14ac:dyDescent="0.25">
      <c r="B450" s="1011" t="s">
        <v>646</v>
      </c>
      <c r="C450" s="1011"/>
      <c r="D450" s="541" t="s">
        <v>10</v>
      </c>
      <c r="E450" s="541">
        <v>7.5714285714285712</v>
      </c>
      <c r="F450" s="541"/>
      <c r="G450" s="628">
        <v>7.5714285714285712</v>
      </c>
      <c r="I450" s="699"/>
      <c r="J450" s="699"/>
      <c r="K450" s="699"/>
      <c r="L450" s="712"/>
    </row>
    <row r="451" spans="2:12" ht="37.5" customHeight="1" thickBot="1" x14ac:dyDescent="0.25">
      <c r="B451" s="1011" t="s">
        <v>647</v>
      </c>
      <c r="C451" s="1011"/>
      <c r="D451" s="541" t="s">
        <v>10</v>
      </c>
      <c r="E451" s="541">
        <v>7.5714285714285712</v>
      </c>
      <c r="F451" s="541"/>
      <c r="G451" s="628">
        <v>7.5714285714285712</v>
      </c>
      <c r="I451" s="699"/>
      <c r="J451" s="699"/>
      <c r="K451" s="699"/>
      <c r="L451" s="712"/>
    </row>
    <row r="452" spans="2:12" ht="45" customHeight="1" thickBot="1" x14ac:dyDescent="0.25">
      <c r="B452" s="1011" t="s">
        <v>648</v>
      </c>
      <c r="C452" s="1011"/>
      <c r="D452" s="541">
        <v>6.333333333333333</v>
      </c>
      <c r="E452" s="541">
        <v>6.5384615384615383</v>
      </c>
      <c r="F452" s="541"/>
      <c r="G452" s="628">
        <v>6.4</v>
      </c>
      <c r="I452" s="699"/>
      <c r="J452" s="699"/>
      <c r="K452" s="699"/>
      <c r="L452" s="712"/>
    </row>
    <row r="453" spans="2:12" ht="36" customHeight="1" thickBot="1" x14ac:dyDescent="0.25">
      <c r="B453" s="1011" t="s">
        <v>649</v>
      </c>
      <c r="C453" s="1011"/>
      <c r="D453" s="541">
        <v>7.333333333333333</v>
      </c>
      <c r="E453" s="541">
        <v>6.615384615384615</v>
      </c>
      <c r="F453" s="541"/>
      <c r="G453" s="628">
        <v>6.75</v>
      </c>
      <c r="I453" s="699"/>
      <c r="J453" s="699"/>
      <c r="K453" s="699"/>
      <c r="L453" s="712"/>
    </row>
    <row r="454" spans="2:12" ht="23.25" customHeight="1" thickBot="1" x14ac:dyDescent="0.25">
      <c r="B454" s="1011" t="s">
        <v>650</v>
      </c>
      <c r="C454" s="1011"/>
      <c r="D454" s="568">
        <v>7.666666666666667</v>
      </c>
      <c r="E454" s="568">
        <v>7.384615384615385</v>
      </c>
      <c r="F454" s="541"/>
      <c r="G454" s="711">
        <v>7.4375</v>
      </c>
      <c r="I454" s="713"/>
      <c r="J454" s="713"/>
      <c r="K454" s="713"/>
      <c r="L454" s="714"/>
    </row>
    <row r="455" spans="2:12" x14ac:dyDescent="0.2">
      <c r="B455" s="899" t="s">
        <v>1483</v>
      </c>
      <c r="C455" s="899"/>
      <c r="D455" s="530"/>
      <c r="E455" s="530"/>
      <c r="G455" s="530"/>
    </row>
    <row r="456" spans="2:12" x14ac:dyDescent="0.2">
      <c r="B456" s="45" t="s">
        <v>651</v>
      </c>
      <c r="C456" s="45"/>
      <c r="D456" s="45"/>
    </row>
    <row r="457" spans="2:12" x14ac:dyDescent="0.2">
      <c r="B457" s="167"/>
      <c r="C457" s="8"/>
      <c r="D457" s="8"/>
    </row>
    <row r="458" spans="2:12" x14ac:dyDescent="0.2">
      <c r="B458" s="46" t="s">
        <v>1010</v>
      </c>
      <c r="C458" s="46"/>
      <c r="D458" s="46"/>
    </row>
    <row r="459" spans="2:12" ht="22.5" customHeight="1" x14ac:dyDescent="0.2">
      <c r="B459" s="1012" t="s">
        <v>1009</v>
      </c>
      <c r="C459" s="1012"/>
      <c r="D459" s="508" t="s">
        <v>29</v>
      </c>
      <c r="E459" s="508" t="s">
        <v>28</v>
      </c>
      <c r="F459" s="508" t="s">
        <v>1008</v>
      </c>
      <c r="G459" s="508" t="s">
        <v>78</v>
      </c>
    </row>
    <row r="460" spans="2:12" ht="27.75" customHeight="1" thickBot="1" x14ac:dyDescent="0.25">
      <c r="B460" s="1011" t="s">
        <v>636</v>
      </c>
      <c r="C460" s="1011"/>
      <c r="D460" s="541">
        <v>6</v>
      </c>
      <c r="E460" s="541">
        <v>5.3636363636363633</v>
      </c>
      <c r="F460" s="541"/>
      <c r="G460" s="628">
        <v>5.5882352941176467</v>
      </c>
      <c r="I460" s="699"/>
      <c r="J460" s="699"/>
      <c r="K460" s="699"/>
      <c r="L460" s="712"/>
    </row>
    <row r="461" spans="2:12" ht="37.5" customHeight="1" thickBot="1" x14ac:dyDescent="0.25">
      <c r="B461" s="1011" t="s">
        <v>637</v>
      </c>
      <c r="C461" s="1011"/>
      <c r="D461" s="541">
        <v>7.833333333333333</v>
      </c>
      <c r="E461" s="541">
        <v>7.5454545454545459</v>
      </c>
      <c r="F461" s="541"/>
      <c r="G461" s="628">
        <v>7.6470588235294121</v>
      </c>
      <c r="I461" s="699"/>
      <c r="J461" s="699"/>
      <c r="K461" s="699"/>
      <c r="L461" s="712"/>
    </row>
    <row r="462" spans="2:12" ht="33" customHeight="1" thickBot="1" x14ac:dyDescent="0.25">
      <c r="B462" s="1011" t="s">
        <v>638</v>
      </c>
      <c r="C462" s="1011"/>
      <c r="D462" s="541">
        <v>7.833333333333333</v>
      </c>
      <c r="E462" s="541">
        <v>7.4545454545454541</v>
      </c>
      <c r="F462" s="541"/>
      <c r="G462" s="628">
        <v>7.5882352941176467</v>
      </c>
      <c r="I462" s="699"/>
      <c r="J462" s="699"/>
      <c r="K462" s="699"/>
      <c r="L462" s="712"/>
    </row>
    <row r="463" spans="2:12" ht="48" customHeight="1" thickBot="1" x14ac:dyDescent="0.25">
      <c r="B463" s="1011" t="s">
        <v>639</v>
      </c>
      <c r="C463" s="1011"/>
      <c r="D463" s="541">
        <v>7.833333333333333</v>
      </c>
      <c r="E463" s="541">
        <v>8.545454545454545</v>
      </c>
      <c r="F463" s="541"/>
      <c r="G463" s="628">
        <v>8.2941176470588243</v>
      </c>
      <c r="I463" s="699"/>
      <c r="J463" s="699"/>
      <c r="K463" s="699"/>
      <c r="L463" s="712"/>
    </row>
    <row r="464" spans="2:12" ht="27.75" customHeight="1" thickBot="1" x14ac:dyDescent="0.25">
      <c r="B464" s="1011" t="s">
        <v>640</v>
      </c>
      <c r="C464" s="1011"/>
      <c r="D464" s="541">
        <v>7.666666666666667</v>
      </c>
      <c r="E464" s="541">
        <v>8.3636363636363633</v>
      </c>
      <c r="F464" s="541"/>
      <c r="G464" s="628">
        <v>8.117647058823529</v>
      </c>
      <c r="I464" s="699"/>
      <c r="J464" s="699"/>
      <c r="K464" s="699"/>
      <c r="L464" s="712"/>
    </row>
    <row r="465" spans="2:12" ht="27" customHeight="1" thickBot="1" x14ac:dyDescent="0.25">
      <c r="B465" s="1011" t="s">
        <v>641</v>
      </c>
      <c r="C465" s="1011"/>
      <c r="D465" s="541">
        <v>8.1666666666666661</v>
      </c>
      <c r="E465" s="541">
        <v>8.6363636363636367</v>
      </c>
      <c r="F465" s="541"/>
      <c r="G465" s="628">
        <v>8.4705882352941178</v>
      </c>
      <c r="I465" s="699"/>
      <c r="J465" s="699"/>
      <c r="K465" s="699"/>
      <c r="L465" s="712"/>
    </row>
    <row r="466" spans="2:12" ht="23.25" customHeight="1" thickBot="1" x14ac:dyDescent="0.25">
      <c r="B466" s="1011" t="s">
        <v>642</v>
      </c>
      <c r="C466" s="1011"/>
      <c r="D466" s="541">
        <v>5.666666666666667</v>
      </c>
      <c r="E466" s="541">
        <v>5.0909090909090908</v>
      </c>
      <c r="F466" s="541"/>
      <c r="G466" s="628">
        <v>5.2941176470588234</v>
      </c>
      <c r="I466" s="699"/>
      <c r="J466" s="699"/>
      <c r="K466" s="699"/>
      <c r="L466" s="712"/>
    </row>
    <row r="467" spans="2:12" ht="23.25" customHeight="1" thickBot="1" x14ac:dyDescent="0.25">
      <c r="B467" s="1011" t="s">
        <v>643</v>
      </c>
      <c r="C467" s="1011"/>
      <c r="D467" s="541">
        <v>7.666666666666667</v>
      </c>
      <c r="E467" s="541">
        <v>7</v>
      </c>
      <c r="F467" s="541"/>
      <c r="G467" s="628">
        <v>7.2352941176470589</v>
      </c>
      <c r="I467" s="699"/>
      <c r="J467" s="699"/>
      <c r="K467" s="699"/>
      <c r="L467" s="712"/>
    </row>
    <row r="468" spans="2:12" ht="46.5" customHeight="1" thickBot="1" x14ac:dyDescent="0.25">
      <c r="B468" s="1011" t="s">
        <v>644</v>
      </c>
      <c r="C468" s="1011"/>
      <c r="D468" s="541">
        <v>6.833333333333333</v>
      </c>
      <c r="E468" s="541">
        <v>7.4545454545454541</v>
      </c>
      <c r="F468" s="541"/>
      <c r="G468" s="628">
        <v>7.2352941176470589</v>
      </c>
      <c r="I468" s="699"/>
      <c r="J468" s="699"/>
      <c r="K468" s="699"/>
      <c r="L468" s="712"/>
    </row>
    <row r="469" spans="2:12" ht="36" customHeight="1" thickBot="1" x14ac:dyDescent="0.25">
      <c r="B469" s="1011" t="s">
        <v>645</v>
      </c>
      <c r="C469" s="1011"/>
      <c r="D469" s="541">
        <v>8.1666666666666661</v>
      </c>
      <c r="E469" s="541">
        <v>8.0909090909090917</v>
      </c>
      <c r="F469" s="541"/>
      <c r="G469" s="628">
        <v>8.117647058823529</v>
      </c>
      <c r="I469" s="699"/>
      <c r="J469" s="699"/>
      <c r="K469" s="699"/>
      <c r="L469" s="712"/>
    </row>
    <row r="470" spans="2:12" ht="27" customHeight="1" thickBot="1" x14ac:dyDescent="0.25">
      <c r="B470" s="1011" t="s">
        <v>1480</v>
      </c>
      <c r="C470" s="1011"/>
      <c r="D470" s="541">
        <v>5.5</v>
      </c>
      <c r="E470" s="541">
        <v>5.8181818181818183</v>
      </c>
      <c r="F470" s="541"/>
      <c r="G470" s="628">
        <v>5.7058823529411766</v>
      </c>
      <c r="I470" s="699"/>
      <c r="J470" s="699"/>
      <c r="K470" s="699"/>
      <c r="L470" s="712"/>
    </row>
    <row r="471" spans="2:12" ht="33" customHeight="1" thickBot="1" x14ac:dyDescent="0.25">
      <c r="B471" s="1011" t="s">
        <v>646</v>
      </c>
      <c r="C471" s="1011"/>
      <c r="D471" s="541">
        <v>8</v>
      </c>
      <c r="E471" s="541">
        <v>8</v>
      </c>
      <c r="F471" s="541"/>
      <c r="G471" s="628">
        <v>8</v>
      </c>
      <c r="I471" s="699"/>
      <c r="J471" s="650"/>
      <c r="K471" s="699"/>
      <c r="L471" s="712"/>
    </row>
    <row r="472" spans="2:12" ht="37.5" customHeight="1" thickBot="1" x14ac:dyDescent="0.25">
      <c r="B472" s="1011" t="s">
        <v>647</v>
      </c>
      <c r="C472" s="1011"/>
      <c r="D472" s="541">
        <v>9</v>
      </c>
      <c r="E472" s="541">
        <v>8.5</v>
      </c>
      <c r="F472" s="541"/>
      <c r="G472" s="628">
        <v>8.75</v>
      </c>
      <c r="I472" s="650"/>
      <c r="J472" s="650"/>
      <c r="K472" s="699"/>
      <c r="L472" s="712"/>
    </row>
    <row r="473" spans="2:12" ht="45" customHeight="1" thickBot="1" x14ac:dyDescent="0.25">
      <c r="B473" s="1011" t="s">
        <v>648</v>
      </c>
      <c r="C473" s="1011"/>
      <c r="D473" s="541">
        <v>6.5</v>
      </c>
      <c r="E473" s="541">
        <v>6.4545454545454541</v>
      </c>
      <c r="F473" s="541"/>
      <c r="G473" s="628">
        <v>6.4705882352941178</v>
      </c>
      <c r="I473" s="650"/>
      <c r="J473" s="650"/>
      <c r="K473" s="699"/>
      <c r="L473" s="712"/>
    </row>
    <row r="474" spans="2:12" ht="36" customHeight="1" thickBot="1" x14ac:dyDescent="0.25">
      <c r="B474" s="1011" t="s">
        <v>649</v>
      </c>
      <c r="C474" s="1011"/>
      <c r="D474" s="541">
        <v>7</v>
      </c>
      <c r="E474" s="541">
        <v>7.0909090909090908</v>
      </c>
      <c r="F474" s="541"/>
      <c r="G474" s="628">
        <v>7.0588235294117645</v>
      </c>
      <c r="I474" s="650"/>
      <c r="J474" s="650"/>
      <c r="K474" s="699"/>
      <c r="L474" s="712"/>
    </row>
    <row r="475" spans="2:12" ht="23.25" customHeight="1" thickBot="1" x14ac:dyDescent="0.25">
      <c r="B475" s="1011" t="s">
        <v>650</v>
      </c>
      <c r="C475" s="1011"/>
      <c r="D475" s="568">
        <v>7.666666666666667</v>
      </c>
      <c r="E475" s="568">
        <v>7.6363636363636367</v>
      </c>
      <c r="F475" s="541"/>
      <c r="G475" s="711">
        <v>7.6470588235294121</v>
      </c>
      <c r="I475" s="715"/>
      <c r="J475" s="715"/>
      <c r="K475" s="713"/>
      <c r="L475" s="714"/>
    </row>
    <row r="476" spans="2:12" x14ac:dyDescent="0.2">
      <c r="B476" s="899" t="s">
        <v>1483</v>
      </c>
      <c r="C476" s="899"/>
      <c r="D476" s="530"/>
      <c r="E476" s="530"/>
      <c r="F476" s="530"/>
      <c r="G476" s="530"/>
    </row>
    <row r="477" spans="2:12" x14ac:dyDescent="0.2">
      <c r="B477" s="45" t="s">
        <v>651</v>
      </c>
      <c r="C477" s="45"/>
      <c r="D477" s="45"/>
    </row>
    <row r="478" spans="2:12" x14ac:dyDescent="0.2">
      <c r="B478" s="45"/>
      <c r="C478" s="45"/>
      <c r="D478" s="45"/>
    </row>
    <row r="479" spans="2:12" x14ac:dyDescent="0.2">
      <c r="B479" s="167"/>
      <c r="C479" s="8"/>
      <c r="D479" s="8"/>
    </row>
    <row r="480" spans="2:12" x14ac:dyDescent="0.2">
      <c r="B480" s="46" t="s">
        <v>842</v>
      </c>
      <c r="G480" t="s">
        <v>930</v>
      </c>
    </row>
    <row r="481" spans="2:24" s="33" customFormat="1" ht="15" customHeight="1" x14ac:dyDescent="0.15">
      <c r="B481" s="1089" t="s">
        <v>7</v>
      </c>
      <c r="C481" s="985"/>
      <c r="D481" s="985"/>
      <c r="E481" s="985"/>
      <c r="F481" s="985"/>
      <c r="G481" s="985"/>
      <c r="H481" s="985"/>
      <c r="I481" s="985"/>
      <c r="J481" s="985"/>
      <c r="K481" s="985"/>
      <c r="L481" s="985"/>
      <c r="M481" s="985"/>
      <c r="N481" s="985"/>
      <c r="O481" s="985"/>
      <c r="P481" s="985"/>
      <c r="Q481" s="985"/>
      <c r="R481" s="985"/>
      <c r="S481" s="985"/>
      <c r="T481" s="985"/>
      <c r="U481" s="985"/>
      <c r="V481" s="985"/>
    </row>
    <row r="482" spans="2:24" s="33" customFormat="1" ht="15" customHeight="1" x14ac:dyDescent="0.15">
      <c r="B482" s="740" t="s">
        <v>326</v>
      </c>
      <c r="C482" s="740" t="s">
        <v>250</v>
      </c>
      <c r="D482" s="740"/>
      <c r="E482" s="740" t="s">
        <v>463</v>
      </c>
      <c r="F482" s="740" t="s">
        <v>464</v>
      </c>
      <c r="G482" s="740" t="s">
        <v>465</v>
      </c>
      <c r="H482" s="740"/>
      <c r="I482" s="740" t="s">
        <v>466</v>
      </c>
      <c r="J482" s="740"/>
      <c r="K482" s="741" t="s">
        <v>467</v>
      </c>
      <c r="L482" s="741"/>
      <c r="M482" s="741"/>
      <c r="N482" s="741"/>
      <c r="O482" s="741"/>
      <c r="P482" s="741"/>
      <c r="Q482" s="741"/>
      <c r="R482" s="741"/>
      <c r="S482" s="741"/>
      <c r="T482" s="741"/>
      <c r="U482" s="741"/>
      <c r="V482" s="741"/>
    </row>
    <row r="483" spans="2:24" s="33" customFormat="1" ht="15" customHeight="1" x14ac:dyDescent="0.15">
      <c r="B483" s="741"/>
      <c r="C483" s="741"/>
      <c r="D483" s="741"/>
      <c r="E483" s="741"/>
      <c r="F483" s="741"/>
      <c r="G483" s="741"/>
      <c r="H483" s="741"/>
      <c r="I483" s="741"/>
      <c r="J483" s="741"/>
      <c r="K483" s="747" t="s">
        <v>468</v>
      </c>
      <c r="L483" s="747"/>
      <c r="M483" s="747" t="s">
        <v>469</v>
      </c>
      <c r="N483" s="747"/>
      <c r="O483" s="747" t="s">
        <v>470</v>
      </c>
      <c r="P483" s="747"/>
      <c r="Q483" s="747" t="s">
        <v>471</v>
      </c>
      <c r="R483" s="747"/>
      <c r="S483" s="747" t="s">
        <v>472</v>
      </c>
      <c r="T483" s="747"/>
      <c r="U483" s="747" t="s">
        <v>473</v>
      </c>
      <c r="V483" s="747"/>
      <c r="X483" s="716" t="s">
        <v>978</v>
      </c>
    </row>
    <row r="484" spans="2:24" s="33" customFormat="1" ht="21.75" customHeight="1" thickBot="1" x14ac:dyDescent="0.2">
      <c r="B484" s="252">
        <v>37214001</v>
      </c>
      <c r="C484" s="1011" t="s">
        <v>474</v>
      </c>
      <c r="D484" s="1011"/>
      <c r="E484" s="253" t="s">
        <v>261</v>
      </c>
      <c r="F484" s="252" t="s">
        <v>475</v>
      </c>
      <c r="G484" s="1083">
        <f>VLOOKUP(B484,'[1]BD assignatures'!A:B,2,FALSE)</f>
        <v>71</v>
      </c>
      <c r="H484" s="1083"/>
      <c r="I484" s="1083" t="s">
        <v>476</v>
      </c>
      <c r="J484" s="1083"/>
      <c r="K484" s="286">
        <f>HLOOKUP(B484,'[1]BD assignatures'!$X$25:$BJ$33,3,FALSE)</f>
        <v>21</v>
      </c>
      <c r="L484" s="254">
        <f t="shared" ref="L484:L518" si="4">K484/$G484</f>
        <v>0.29577464788732394</v>
      </c>
      <c r="M484" s="286">
        <f>HLOOKUP(B484,'[1]BD assignatures'!$X$25:$BJ$33,6,FALSE)</f>
        <v>1</v>
      </c>
      <c r="N484" s="254">
        <f t="shared" ref="N484:N518" si="5">M484/$G484</f>
        <v>1.4084507042253521E-2</v>
      </c>
      <c r="O484" s="286">
        <f>HLOOKUP(B484,'[1]BD assignatures'!$X$25:$BJI$33,7,FALSE)</f>
        <v>20</v>
      </c>
      <c r="P484" s="254">
        <f t="shared" ref="P484:P518" si="6">O484/$G484</f>
        <v>0.28169014084507044</v>
      </c>
      <c r="Q484" s="286">
        <f>HLOOKUP(B484,'[1]BD assignatures'!$X$25:$BJ$33,9,FALSE)</f>
        <v>29</v>
      </c>
      <c r="R484" s="254">
        <f t="shared" ref="R484:R518" si="7">Q484/$G484</f>
        <v>0.40845070422535212</v>
      </c>
      <c r="S484" s="286">
        <f>HLOOKUP(B484,'[1]BD assignatures'!$X$25:$BJ$33,4,FALSE)</f>
        <v>0</v>
      </c>
      <c r="T484" s="254">
        <f t="shared" ref="T484:T518" si="8">S484/$G484</f>
        <v>0</v>
      </c>
      <c r="U484" s="286">
        <f>HLOOKUP(B484,'[1]BD assignatures'!$X$25:$BJ$33,5,FALSE)</f>
        <v>0</v>
      </c>
      <c r="V484" s="254">
        <f t="shared" ref="V484:V518" si="9">U484/$G484</f>
        <v>0</v>
      </c>
      <c r="X484" s="716">
        <f>(K484+M484+O484+Q484+S484+U484)-G484</f>
        <v>0</v>
      </c>
    </row>
    <row r="485" spans="2:24" s="33" customFormat="1" ht="21.75" customHeight="1" thickBot="1" x14ac:dyDescent="0.2">
      <c r="B485" s="246">
        <v>37214006</v>
      </c>
      <c r="C485" s="1011" t="s">
        <v>477</v>
      </c>
      <c r="D485" s="1011"/>
      <c r="E485" s="247" t="s">
        <v>261</v>
      </c>
      <c r="F485" s="246" t="s">
        <v>475</v>
      </c>
      <c r="G485" s="1083">
        <f>VLOOKUP(B485,'[1]BD assignatures'!A:B,2,FALSE)</f>
        <v>65</v>
      </c>
      <c r="H485" s="1083"/>
      <c r="I485" s="1082" t="s">
        <v>476</v>
      </c>
      <c r="J485" s="1082"/>
      <c r="K485" s="286">
        <f>HLOOKUP(B485,'[1]BD assignatures'!$X$25:$BJ$33,3,FALSE)</f>
        <v>22</v>
      </c>
      <c r="L485" s="248">
        <f t="shared" si="4"/>
        <v>0.33846153846153848</v>
      </c>
      <c r="M485" s="286">
        <f>HLOOKUP(B485,'[1]BD assignatures'!$X$25:$BJ$33,6,FALSE)</f>
        <v>9</v>
      </c>
      <c r="N485" s="248">
        <f t="shared" si="5"/>
        <v>0.13846153846153847</v>
      </c>
      <c r="O485" s="286">
        <f>HLOOKUP(B485,'[1]BD assignatures'!$X$25:$BJI$33,7,FALSE)</f>
        <v>29</v>
      </c>
      <c r="P485" s="248">
        <f t="shared" si="6"/>
        <v>0.44615384615384618</v>
      </c>
      <c r="Q485" s="286">
        <f>HLOOKUP(B485,'[1]BD assignatures'!$X$25:$BJ$33,9,FALSE)</f>
        <v>5</v>
      </c>
      <c r="R485" s="248">
        <f t="shared" si="7"/>
        <v>7.6923076923076927E-2</v>
      </c>
      <c r="S485" s="286">
        <f>HLOOKUP(B485,'[1]BD assignatures'!$X$25:$BJ$33,4,FALSE)</f>
        <v>0</v>
      </c>
      <c r="T485" s="248">
        <f t="shared" si="8"/>
        <v>0</v>
      </c>
      <c r="U485" s="286">
        <f>HLOOKUP(B485,'[1]BD assignatures'!$X$25:$BJ$33,5,FALSE)</f>
        <v>0</v>
      </c>
      <c r="V485" s="248">
        <f t="shared" si="9"/>
        <v>0</v>
      </c>
      <c r="X485" s="716">
        <f t="shared" ref="X485:X520" si="10">(K485+M485+O485+Q485+S485+U485)-G485</f>
        <v>0</v>
      </c>
    </row>
    <row r="486" spans="2:24" s="33" customFormat="1" ht="21.75" customHeight="1" thickBot="1" x14ac:dyDescent="0.2">
      <c r="B486" s="246">
        <v>37214102</v>
      </c>
      <c r="C486" s="1011" t="s">
        <v>285</v>
      </c>
      <c r="D486" s="1011"/>
      <c r="E486" s="247" t="s">
        <v>284</v>
      </c>
      <c r="F486" s="246" t="s">
        <v>475</v>
      </c>
      <c r="G486" s="1083">
        <f>VLOOKUP(B486,'[1]BD assignatures'!A:B,2,FALSE)</f>
        <v>60</v>
      </c>
      <c r="H486" s="1083"/>
      <c r="I486" s="1082" t="s">
        <v>476</v>
      </c>
      <c r="J486" s="1082"/>
      <c r="K486" s="286">
        <f>HLOOKUP(B486,'[1]BD assignatures'!$X$25:$BJ$33,3,FALSE)</f>
        <v>20</v>
      </c>
      <c r="L486" s="248">
        <f t="shared" si="4"/>
        <v>0.33333333333333331</v>
      </c>
      <c r="M486" s="286">
        <f>HLOOKUP(B486,'[1]BD assignatures'!$X$25:$BJ$33,6,FALSE)</f>
        <v>6</v>
      </c>
      <c r="N486" s="248">
        <f t="shared" si="5"/>
        <v>0.1</v>
      </c>
      <c r="O486" s="286">
        <f>HLOOKUP(B486,'[1]BD assignatures'!$X$25:$BJI$33,7,FALSE)</f>
        <v>20</v>
      </c>
      <c r="P486" s="248">
        <f t="shared" si="6"/>
        <v>0.33333333333333331</v>
      </c>
      <c r="Q486" s="286">
        <f>HLOOKUP(B486,'[1]BD assignatures'!$X$25:$BJ$33,9,FALSE)</f>
        <v>4</v>
      </c>
      <c r="R486" s="248">
        <f t="shared" si="7"/>
        <v>6.6666666666666666E-2</v>
      </c>
      <c r="S486" s="286">
        <f>HLOOKUP(B486,'[1]BD assignatures'!$X$25:$BJ$33,4,FALSE)</f>
        <v>10</v>
      </c>
      <c r="T486" s="248">
        <f t="shared" si="8"/>
        <v>0.16666666666666666</v>
      </c>
      <c r="U486" s="286">
        <f>HLOOKUP(B486,'[1]BD assignatures'!$X$25:$BJ$33,5,FALSE)</f>
        <v>0</v>
      </c>
      <c r="V486" s="248">
        <f t="shared" si="9"/>
        <v>0</v>
      </c>
      <c r="X486" s="716">
        <f t="shared" si="10"/>
        <v>0</v>
      </c>
    </row>
    <row r="487" spans="2:24" s="33" customFormat="1" ht="21.75" customHeight="1" thickBot="1" x14ac:dyDescent="0.2">
      <c r="B487" s="246">
        <v>37214106</v>
      </c>
      <c r="C487" s="1011" t="s">
        <v>546</v>
      </c>
      <c r="D487" s="1011"/>
      <c r="E487" s="247" t="s">
        <v>284</v>
      </c>
      <c r="F487" s="246" t="s">
        <v>475</v>
      </c>
      <c r="G487" s="1083">
        <f>VLOOKUP(B487,'[1]BD assignatures'!A:B,2,FALSE)</f>
        <v>68</v>
      </c>
      <c r="H487" s="1083"/>
      <c r="I487" s="1082" t="s">
        <v>476</v>
      </c>
      <c r="J487" s="1082"/>
      <c r="K487" s="286">
        <f>HLOOKUP(B487,'[1]BD assignatures'!$X$25:$BJ$33,3,FALSE)</f>
        <v>33</v>
      </c>
      <c r="L487" s="248">
        <f t="shared" si="4"/>
        <v>0.48529411764705882</v>
      </c>
      <c r="M487" s="286">
        <f>HLOOKUP(B487,'[1]BD assignatures'!$X$25:$BJ$33,6,FALSE)</f>
        <v>5</v>
      </c>
      <c r="N487" s="248">
        <f t="shared" si="5"/>
        <v>7.3529411764705885E-2</v>
      </c>
      <c r="O487" s="286">
        <f>HLOOKUP(B487,'[1]BD assignatures'!$X$25:$BJI$33,7,FALSE)</f>
        <v>17</v>
      </c>
      <c r="P487" s="248">
        <f t="shared" si="6"/>
        <v>0.25</v>
      </c>
      <c r="Q487" s="286">
        <f>HLOOKUP(B487,'[1]BD assignatures'!$X$25:$BJ$33,9,FALSE)</f>
        <v>13</v>
      </c>
      <c r="R487" s="248">
        <f t="shared" si="7"/>
        <v>0.19117647058823528</v>
      </c>
      <c r="S487" s="286">
        <f>HLOOKUP(B487,'[1]BD assignatures'!$X$25:$BJ$33,4,FALSE)</f>
        <v>0</v>
      </c>
      <c r="T487" s="248">
        <f t="shared" si="8"/>
        <v>0</v>
      </c>
      <c r="U487" s="286">
        <f>HLOOKUP(B487,'[1]BD assignatures'!$X$25:$BJ$33,5,FALSE)</f>
        <v>0</v>
      </c>
      <c r="V487" s="248">
        <f t="shared" si="9"/>
        <v>0</v>
      </c>
      <c r="X487" s="716">
        <f t="shared" si="10"/>
        <v>0</v>
      </c>
    </row>
    <row r="488" spans="2:24" s="33" customFormat="1" ht="21.75" customHeight="1" thickBot="1" x14ac:dyDescent="0.2">
      <c r="B488" s="246">
        <v>37214104</v>
      </c>
      <c r="C488" s="1011" t="s">
        <v>479</v>
      </c>
      <c r="D488" s="1011"/>
      <c r="E488" s="247" t="s">
        <v>284</v>
      </c>
      <c r="F488" s="246" t="s">
        <v>475</v>
      </c>
      <c r="G488" s="1083">
        <f>VLOOKUP(B488,'[1]BD assignatures'!A:B,2,FALSE)</f>
        <v>47</v>
      </c>
      <c r="H488" s="1083"/>
      <c r="I488" s="1082" t="s">
        <v>476</v>
      </c>
      <c r="J488" s="1082"/>
      <c r="K488" s="286">
        <f>HLOOKUP(B488,'[1]BD assignatures'!$X$25:$BJ$33,3,FALSE)</f>
        <v>26</v>
      </c>
      <c r="L488" s="248">
        <f t="shared" si="4"/>
        <v>0.55319148936170215</v>
      </c>
      <c r="M488" s="286">
        <f>HLOOKUP(B488,'[1]BD assignatures'!$X$25:$BJ$33,6,FALSE)</f>
        <v>7</v>
      </c>
      <c r="N488" s="248">
        <f t="shared" si="5"/>
        <v>0.14893617021276595</v>
      </c>
      <c r="O488" s="286">
        <f>HLOOKUP(B488,'[1]BD assignatures'!$X$25:$BJI$33,7,FALSE)</f>
        <v>8</v>
      </c>
      <c r="P488" s="248">
        <f t="shared" si="6"/>
        <v>0.1702127659574468</v>
      </c>
      <c r="Q488" s="286">
        <f>HLOOKUP(B488,'[1]BD assignatures'!$X$25:$BJ$33,9,FALSE)</f>
        <v>6</v>
      </c>
      <c r="R488" s="248">
        <f t="shared" si="7"/>
        <v>0.1276595744680851</v>
      </c>
      <c r="S488" s="286">
        <f>HLOOKUP(B488,'[1]BD assignatures'!$X$25:$BJ$33,4,FALSE)</f>
        <v>0</v>
      </c>
      <c r="T488" s="248">
        <f t="shared" si="8"/>
        <v>0</v>
      </c>
      <c r="U488" s="286">
        <f>HLOOKUP(B488,'[1]BD assignatures'!$X$25:$BJ$33,5,FALSE)</f>
        <v>0</v>
      </c>
      <c r="V488" s="248">
        <f t="shared" si="9"/>
        <v>0</v>
      </c>
      <c r="X488" s="716">
        <f t="shared" si="10"/>
        <v>0</v>
      </c>
    </row>
    <row r="489" spans="2:24" s="33" customFormat="1" ht="21.75" customHeight="1" thickBot="1" x14ac:dyDescent="0.2">
      <c r="B489" s="246">
        <v>37214002</v>
      </c>
      <c r="C489" s="1011" t="s">
        <v>480</v>
      </c>
      <c r="D489" s="1011"/>
      <c r="E489" s="247" t="s">
        <v>261</v>
      </c>
      <c r="F489" s="246" t="s">
        <v>475</v>
      </c>
      <c r="G489" s="1083">
        <f>VLOOKUP(B489,'[1]BD assignatures'!A:B,2,FALSE)</f>
        <v>93</v>
      </c>
      <c r="H489" s="1083"/>
      <c r="I489" s="1082" t="s">
        <v>476</v>
      </c>
      <c r="J489" s="1082"/>
      <c r="K489" s="286">
        <f>HLOOKUP(B489,'[1]BD assignatures'!$X$25:$BJ$33,3,FALSE)</f>
        <v>46</v>
      </c>
      <c r="L489" s="248">
        <f t="shared" si="4"/>
        <v>0.4946236559139785</v>
      </c>
      <c r="M489" s="286">
        <f>HLOOKUP(B489,'[1]BD assignatures'!$X$25:$BJ$33,6,FALSE)</f>
        <v>5</v>
      </c>
      <c r="N489" s="248">
        <f t="shared" si="5"/>
        <v>5.3763440860215055E-2</v>
      </c>
      <c r="O489" s="286">
        <f>HLOOKUP(B489,'[1]BD assignatures'!$X$25:$BJI$33,7,FALSE)</f>
        <v>8</v>
      </c>
      <c r="P489" s="248">
        <f t="shared" si="6"/>
        <v>8.6021505376344093E-2</v>
      </c>
      <c r="Q489" s="286">
        <f>HLOOKUP(B489,'[1]BD assignatures'!$X$25:$BJ$33,9,FALSE)</f>
        <v>33</v>
      </c>
      <c r="R489" s="248">
        <f t="shared" si="7"/>
        <v>0.35483870967741937</v>
      </c>
      <c r="S489" s="286">
        <f>HLOOKUP(B489,'[1]BD assignatures'!$X$25:$BJ$33,4,FALSE)</f>
        <v>0</v>
      </c>
      <c r="T489" s="248">
        <f t="shared" si="8"/>
        <v>0</v>
      </c>
      <c r="U489" s="286">
        <f>HLOOKUP(B489,'[1]BD assignatures'!$X$25:$BJ$33,5,FALSE)</f>
        <v>1</v>
      </c>
      <c r="V489" s="248">
        <f t="shared" si="9"/>
        <v>1.0752688172043012E-2</v>
      </c>
      <c r="X489" s="716">
        <f t="shared" si="10"/>
        <v>0</v>
      </c>
    </row>
    <row r="490" spans="2:24" s="33" customFormat="1" ht="21.75" customHeight="1" thickBot="1" x14ac:dyDescent="0.2">
      <c r="B490" s="246">
        <v>37214010</v>
      </c>
      <c r="C490" s="1011" t="s">
        <v>481</v>
      </c>
      <c r="D490" s="1011"/>
      <c r="E490" s="247" t="s">
        <v>261</v>
      </c>
      <c r="F490" s="246" t="s">
        <v>475</v>
      </c>
      <c r="G490" s="1083">
        <f>VLOOKUP(B490,'[1]BD assignatures'!A:B,2,FALSE)</f>
        <v>72</v>
      </c>
      <c r="H490" s="1083"/>
      <c r="I490" s="1082" t="s">
        <v>476</v>
      </c>
      <c r="J490" s="1082"/>
      <c r="K490" s="286">
        <f>HLOOKUP(B490,'[1]BD assignatures'!$X$25:$BJ$33,3,FALSE)</f>
        <v>48</v>
      </c>
      <c r="L490" s="248">
        <f t="shared" si="4"/>
        <v>0.66666666666666663</v>
      </c>
      <c r="M490" s="286">
        <f>HLOOKUP(B490,'[1]BD assignatures'!$X$25:$BJ$33,6,FALSE)</f>
        <v>1</v>
      </c>
      <c r="N490" s="248">
        <f t="shared" si="5"/>
        <v>1.3888888888888888E-2</v>
      </c>
      <c r="O490" s="286">
        <f>HLOOKUP(B490,'[1]BD assignatures'!$X$25:$BJI$33,7,FALSE)</f>
        <v>15</v>
      </c>
      <c r="P490" s="248">
        <f t="shared" si="6"/>
        <v>0.20833333333333334</v>
      </c>
      <c r="Q490" s="286">
        <f>HLOOKUP(B490,'[1]BD assignatures'!$X$25:$BJ$33,9,FALSE)</f>
        <v>8</v>
      </c>
      <c r="R490" s="248">
        <f t="shared" si="7"/>
        <v>0.1111111111111111</v>
      </c>
      <c r="S490" s="286">
        <f>HLOOKUP(B490,'[1]BD assignatures'!$X$25:$BJ$33,4,FALSE)</f>
        <v>0</v>
      </c>
      <c r="T490" s="248">
        <f t="shared" si="8"/>
        <v>0</v>
      </c>
      <c r="U490" s="286">
        <f>HLOOKUP(B490,'[1]BD assignatures'!$X$25:$BJ$33,5,FALSE)</f>
        <v>0</v>
      </c>
      <c r="V490" s="248">
        <f t="shared" si="9"/>
        <v>0</v>
      </c>
      <c r="X490" s="716">
        <f t="shared" si="10"/>
        <v>0</v>
      </c>
    </row>
    <row r="491" spans="2:24" s="33" customFormat="1" ht="21.75" customHeight="1" thickBot="1" x14ac:dyDescent="0.2">
      <c r="B491" s="270">
        <v>37214101</v>
      </c>
      <c r="C491" s="1088" t="s">
        <v>482</v>
      </c>
      <c r="D491" s="1088"/>
      <c r="E491" s="271" t="s">
        <v>284</v>
      </c>
      <c r="F491" s="270" t="s">
        <v>475</v>
      </c>
      <c r="G491" s="1087">
        <f>VLOOKUP(B491,'[1]BD assignatures'!A:B,2,FALSE)</f>
        <v>68</v>
      </c>
      <c r="H491" s="1087"/>
      <c r="I491" s="1087" t="s">
        <v>476</v>
      </c>
      <c r="J491" s="1087"/>
      <c r="K491" s="286">
        <f>HLOOKUP(B491,'[1]BD assignatures'!$X$25:$BJ$33,3,FALSE)</f>
        <v>15</v>
      </c>
      <c r="L491" s="272">
        <f t="shared" si="4"/>
        <v>0.22058823529411764</v>
      </c>
      <c r="M491" s="286">
        <f>HLOOKUP(B491,'[1]BD assignatures'!$X$25:$BJ$33,6,FALSE)</f>
        <v>0</v>
      </c>
      <c r="N491" s="272">
        <f t="shared" si="5"/>
        <v>0</v>
      </c>
      <c r="O491" s="286">
        <f>HLOOKUP(B491,'[1]BD assignatures'!$X$25:$BJI$33,7,FALSE)</f>
        <v>44</v>
      </c>
      <c r="P491" s="272">
        <f t="shared" si="6"/>
        <v>0.6470588235294118</v>
      </c>
      <c r="Q491" s="286">
        <f>HLOOKUP(B491,'[1]BD assignatures'!$X$25:$BJ$33,9,FALSE)</f>
        <v>9</v>
      </c>
      <c r="R491" s="272">
        <f t="shared" si="7"/>
        <v>0.13235294117647059</v>
      </c>
      <c r="S491" s="286">
        <f>HLOOKUP(B491,'[1]BD assignatures'!$X$25:$BJ$33,4,FALSE)</f>
        <v>0</v>
      </c>
      <c r="T491" s="272">
        <f t="shared" si="8"/>
        <v>0</v>
      </c>
      <c r="U491" s="286">
        <f>HLOOKUP(B491,'[1]BD assignatures'!$X$25:$BJ$33,5,FALSE)</f>
        <v>0</v>
      </c>
      <c r="V491" s="272">
        <f t="shared" si="9"/>
        <v>0</v>
      </c>
      <c r="X491" s="716">
        <f t="shared" si="10"/>
        <v>0</v>
      </c>
    </row>
    <row r="492" spans="2:24" s="33" customFormat="1" ht="21.75" customHeight="1" thickBot="1" x14ac:dyDescent="0.2">
      <c r="B492" s="252">
        <v>37214005</v>
      </c>
      <c r="C492" s="1011" t="s">
        <v>483</v>
      </c>
      <c r="D492" s="1011"/>
      <c r="E492" s="253" t="s">
        <v>261</v>
      </c>
      <c r="F492" s="252" t="s">
        <v>475</v>
      </c>
      <c r="G492" s="1083">
        <f>VLOOKUP(B492,'[1]BD assignatures'!A:B,2,FALSE)</f>
        <v>65</v>
      </c>
      <c r="H492" s="1083"/>
      <c r="I492" s="1083" t="s">
        <v>476</v>
      </c>
      <c r="J492" s="1083"/>
      <c r="K492" s="286">
        <f>HLOOKUP(B492,'[1]BD assignatures'!$X$25:$BJ$33,3,FALSE)</f>
        <v>9</v>
      </c>
      <c r="L492" s="254">
        <f t="shared" si="4"/>
        <v>0.13846153846153847</v>
      </c>
      <c r="M492" s="286">
        <f>HLOOKUP(B492,'[1]BD assignatures'!$X$25:$BJ$33,6,FALSE)</f>
        <v>0</v>
      </c>
      <c r="N492" s="254">
        <f t="shared" si="5"/>
        <v>0</v>
      </c>
      <c r="O492" s="286">
        <f>HLOOKUP(B492,'[1]BD assignatures'!$X$25:$BJI$33,7,FALSE)</f>
        <v>54</v>
      </c>
      <c r="P492" s="254">
        <f t="shared" si="6"/>
        <v>0.83076923076923082</v>
      </c>
      <c r="Q492" s="286">
        <f>HLOOKUP(B492,'[1]BD assignatures'!$X$25:$BJ$33,9,FALSE)</f>
        <v>2</v>
      </c>
      <c r="R492" s="254">
        <f t="shared" si="7"/>
        <v>3.0769230769230771E-2</v>
      </c>
      <c r="S492" s="286">
        <f>HLOOKUP(B492,'[1]BD assignatures'!$X$25:$BJ$33,4,FALSE)</f>
        <v>0</v>
      </c>
      <c r="T492" s="254">
        <f t="shared" si="8"/>
        <v>0</v>
      </c>
      <c r="U492" s="286">
        <f>HLOOKUP(B492,'[1]BD assignatures'!$X$25:$BJ$33,5,FALSE)</f>
        <v>0</v>
      </c>
      <c r="V492" s="254">
        <f t="shared" si="9"/>
        <v>0</v>
      </c>
      <c r="X492" s="716">
        <f t="shared" si="10"/>
        <v>0</v>
      </c>
    </row>
    <row r="493" spans="2:24" s="33" customFormat="1" ht="21.75" customHeight="1" thickBot="1" x14ac:dyDescent="0.2">
      <c r="B493" s="246">
        <v>37214003</v>
      </c>
      <c r="C493" s="1011" t="s">
        <v>1134</v>
      </c>
      <c r="D493" s="1011"/>
      <c r="E493" s="247" t="s">
        <v>261</v>
      </c>
      <c r="F493" s="246" t="s">
        <v>475</v>
      </c>
      <c r="G493" s="1083">
        <f>VLOOKUP(B493,'[1]BD assignatures'!A:B,2,FALSE)</f>
        <v>61</v>
      </c>
      <c r="H493" s="1083"/>
      <c r="I493" s="1082" t="s">
        <v>476</v>
      </c>
      <c r="J493" s="1082"/>
      <c r="K493" s="286">
        <f>HLOOKUP(B493,'[1]BD assignatures'!$X$25:$BJ$33,3,FALSE)</f>
        <v>17</v>
      </c>
      <c r="L493" s="248">
        <f t="shared" si="4"/>
        <v>0.27868852459016391</v>
      </c>
      <c r="M493" s="286">
        <f>HLOOKUP(B493,'[1]BD assignatures'!$X$25:$BJ$33,6,FALSE)</f>
        <v>9</v>
      </c>
      <c r="N493" s="248">
        <f t="shared" si="5"/>
        <v>0.14754098360655737</v>
      </c>
      <c r="O493" s="286">
        <f>HLOOKUP(B493,'[1]BD assignatures'!$X$25:$BJI$33,7,FALSE)</f>
        <v>2</v>
      </c>
      <c r="P493" s="248">
        <f t="shared" si="6"/>
        <v>3.2786885245901641E-2</v>
      </c>
      <c r="Q493" s="286">
        <f>HLOOKUP(B493,'[1]BD assignatures'!$X$25:$BJ$33,9,FALSE)</f>
        <v>33</v>
      </c>
      <c r="R493" s="248">
        <f t="shared" si="7"/>
        <v>0.54098360655737709</v>
      </c>
      <c r="S493" s="286">
        <f>HLOOKUP(B493,'[1]BD assignatures'!$X$25:$BJ$33,4,FALSE)</f>
        <v>0</v>
      </c>
      <c r="T493" s="248">
        <f t="shared" si="8"/>
        <v>0</v>
      </c>
      <c r="U493" s="286">
        <f>HLOOKUP(B493,'[1]BD assignatures'!$X$25:$BJ$33,5,FALSE)</f>
        <v>0</v>
      </c>
      <c r="V493" s="248">
        <f t="shared" si="9"/>
        <v>0</v>
      </c>
      <c r="X493" s="716">
        <f t="shared" si="10"/>
        <v>0</v>
      </c>
    </row>
    <row r="494" spans="2:24" s="33" customFormat="1" ht="21.75" customHeight="1" thickBot="1" x14ac:dyDescent="0.2">
      <c r="B494" s="246">
        <v>37214004</v>
      </c>
      <c r="C494" s="1011" t="s">
        <v>485</v>
      </c>
      <c r="D494" s="1011"/>
      <c r="E494" s="247" t="s">
        <v>261</v>
      </c>
      <c r="F494" s="246" t="s">
        <v>475</v>
      </c>
      <c r="G494" s="1083">
        <f>VLOOKUP(B494,'[1]BD assignatures'!A:B,2,FALSE)</f>
        <v>71</v>
      </c>
      <c r="H494" s="1083"/>
      <c r="I494" s="1082" t="s">
        <v>476</v>
      </c>
      <c r="J494" s="1082"/>
      <c r="K494" s="286">
        <f>HLOOKUP(B494,'[1]BD assignatures'!$X$25:$BJ$33,3,FALSE)</f>
        <v>31</v>
      </c>
      <c r="L494" s="248">
        <f t="shared" si="4"/>
        <v>0.43661971830985913</v>
      </c>
      <c r="M494" s="286">
        <f>HLOOKUP(B494,'[1]BD assignatures'!$X$25:$BJ$33,6,FALSE)</f>
        <v>5</v>
      </c>
      <c r="N494" s="248">
        <f t="shared" si="5"/>
        <v>7.0422535211267609E-2</v>
      </c>
      <c r="O494" s="286">
        <f>HLOOKUP(B494,'[1]BD assignatures'!$X$25:$BJI$33,7,FALSE)</f>
        <v>28</v>
      </c>
      <c r="P494" s="248">
        <f t="shared" si="6"/>
        <v>0.39436619718309857</v>
      </c>
      <c r="Q494" s="286">
        <f>HLOOKUP(B494,'[1]BD assignatures'!$X$25:$BJ$33,9,FALSE)</f>
        <v>7</v>
      </c>
      <c r="R494" s="248">
        <f t="shared" si="7"/>
        <v>9.8591549295774641E-2</v>
      </c>
      <c r="S494" s="286">
        <f>HLOOKUP(B494,'[1]BD assignatures'!$X$25:$BJ$33,4,FALSE)</f>
        <v>0</v>
      </c>
      <c r="T494" s="248">
        <f t="shared" si="8"/>
        <v>0</v>
      </c>
      <c r="U494" s="286">
        <f>HLOOKUP(B494,'[1]BD assignatures'!$X$25:$BJ$33,5,FALSE)</f>
        <v>0</v>
      </c>
      <c r="V494" s="248">
        <f t="shared" si="9"/>
        <v>0</v>
      </c>
      <c r="X494" s="716">
        <f t="shared" si="10"/>
        <v>0</v>
      </c>
    </row>
    <row r="495" spans="2:24" s="33" customFormat="1" ht="21.75" customHeight="1" thickBot="1" x14ac:dyDescent="0.2">
      <c r="B495" s="246">
        <v>37214008</v>
      </c>
      <c r="C495" s="1011" t="s">
        <v>486</v>
      </c>
      <c r="D495" s="1011"/>
      <c r="E495" s="247" t="s">
        <v>261</v>
      </c>
      <c r="F495" s="246" t="s">
        <v>475</v>
      </c>
      <c r="G495" s="1083">
        <f>VLOOKUP(B495,'[1]BD assignatures'!A:B,2,FALSE)</f>
        <v>54</v>
      </c>
      <c r="H495" s="1083"/>
      <c r="I495" s="1082" t="s">
        <v>476</v>
      </c>
      <c r="J495" s="1082"/>
      <c r="K495" s="286">
        <f>HLOOKUP(B495,'[1]BD assignatures'!$X$25:$BJ$33,3,FALSE)</f>
        <v>24</v>
      </c>
      <c r="L495" s="248">
        <f t="shared" si="4"/>
        <v>0.44444444444444442</v>
      </c>
      <c r="M495" s="286">
        <f>HLOOKUP(B495,'[1]BD assignatures'!$X$25:$BJ$33,6,FALSE)</f>
        <v>0</v>
      </c>
      <c r="N495" s="248">
        <f t="shared" si="5"/>
        <v>0</v>
      </c>
      <c r="O495" s="286">
        <f>HLOOKUP(B495,'[1]BD assignatures'!$X$25:$BJI$33,7,FALSE)</f>
        <v>26</v>
      </c>
      <c r="P495" s="248">
        <f t="shared" si="6"/>
        <v>0.48148148148148145</v>
      </c>
      <c r="Q495" s="286">
        <f>HLOOKUP(B495,'[1]BD assignatures'!$X$25:$BJ$33,9,FALSE)</f>
        <v>3</v>
      </c>
      <c r="R495" s="248">
        <f t="shared" si="7"/>
        <v>5.5555555555555552E-2</v>
      </c>
      <c r="S495" s="286">
        <f>HLOOKUP(B495,'[1]BD assignatures'!$X$25:$BJ$33,4,FALSE)</f>
        <v>1</v>
      </c>
      <c r="T495" s="248">
        <f t="shared" si="8"/>
        <v>1.8518518518518517E-2</v>
      </c>
      <c r="U495" s="286">
        <f>HLOOKUP(B495,'[1]BD assignatures'!$X$25:$BJ$33,5,FALSE)</f>
        <v>0</v>
      </c>
      <c r="V495" s="248">
        <f t="shared" si="9"/>
        <v>0</v>
      </c>
      <c r="X495" s="716">
        <f t="shared" si="10"/>
        <v>0</v>
      </c>
    </row>
    <row r="496" spans="2:24" s="33" customFormat="1" ht="21.75" customHeight="1" thickBot="1" x14ac:dyDescent="0.2">
      <c r="B496" s="246">
        <v>37214009</v>
      </c>
      <c r="C496" s="1011" t="s">
        <v>487</v>
      </c>
      <c r="D496" s="1011"/>
      <c r="E496" s="247" t="s">
        <v>261</v>
      </c>
      <c r="F496" s="246" t="s">
        <v>475</v>
      </c>
      <c r="G496" s="1083">
        <f>VLOOKUP(B496,'[1]BD assignatures'!A:B,2,FALSE)</f>
        <v>50</v>
      </c>
      <c r="H496" s="1083"/>
      <c r="I496" s="1082" t="s">
        <v>476</v>
      </c>
      <c r="J496" s="1082"/>
      <c r="K496" s="286">
        <f>HLOOKUP(B496,'[1]BD assignatures'!$X$25:$BJ$33,3,FALSE)</f>
        <v>35</v>
      </c>
      <c r="L496" s="248">
        <f t="shared" si="4"/>
        <v>0.7</v>
      </c>
      <c r="M496" s="286">
        <f>HLOOKUP(B496,'[1]BD assignatures'!$X$25:$BJ$33,6,FALSE)</f>
        <v>0</v>
      </c>
      <c r="N496" s="248">
        <f t="shared" si="5"/>
        <v>0</v>
      </c>
      <c r="O496" s="286">
        <f>HLOOKUP(B496,'[1]BD assignatures'!$X$25:$BJI$33,7,FALSE)</f>
        <v>9</v>
      </c>
      <c r="P496" s="248">
        <f t="shared" si="6"/>
        <v>0.18</v>
      </c>
      <c r="Q496" s="286">
        <f>HLOOKUP(B496,'[1]BD assignatures'!$X$25:$BJ$33,9,FALSE)</f>
        <v>6</v>
      </c>
      <c r="R496" s="248">
        <f t="shared" si="7"/>
        <v>0.12</v>
      </c>
      <c r="S496" s="286">
        <f>HLOOKUP(B496,'[1]BD assignatures'!$X$25:$BJ$33,4,FALSE)</f>
        <v>0</v>
      </c>
      <c r="T496" s="248">
        <f t="shared" si="8"/>
        <v>0</v>
      </c>
      <c r="U496" s="286">
        <f>HLOOKUP(B496,'[1]BD assignatures'!$X$25:$BJ$33,5,FALSE)</f>
        <v>0</v>
      </c>
      <c r="V496" s="248">
        <f t="shared" si="9"/>
        <v>0</v>
      </c>
      <c r="X496" s="716">
        <f t="shared" si="10"/>
        <v>0</v>
      </c>
    </row>
    <row r="497" spans="2:24" s="33" customFormat="1" ht="21.75" customHeight="1" thickBot="1" x14ac:dyDescent="0.2">
      <c r="B497" s="246">
        <v>37214107</v>
      </c>
      <c r="C497" s="1011" t="s">
        <v>488</v>
      </c>
      <c r="D497" s="1011"/>
      <c r="E497" s="247" t="s">
        <v>284</v>
      </c>
      <c r="F497" s="246" t="s">
        <v>181</v>
      </c>
      <c r="G497" s="1083">
        <f>VLOOKUP(B497,'[1]BD assignatures'!A:B,2,FALSE)</f>
        <v>54</v>
      </c>
      <c r="H497" s="1083"/>
      <c r="I497" s="1082" t="s">
        <v>476</v>
      </c>
      <c r="J497" s="1082"/>
      <c r="K497" s="286">
        <f>HLOOKUP(B497,'[1]BD assignatures'!$X$25:$BJ$33,3,FALSE)</f>
        <v>38</v>
      </c>
      <c r="L497" s="248">
        <f t="shared" si="4"/>
        <v>0.70370370370370372</v>
      </c>
      <c r="M497" s="286">
        <f>HLOOKUP(B497,'[1]BD assignatures'!$X$25:$BJ$33,6,FALSE)</f>
        <v>1</v>
      </c>
      <c r="N497" s="248">
        <f t="shared" si="5"/>
        <v>1.8518518518518517E-2</v>
      </c>
      <c r="O497" s="286">
        <f>HLOOKUP(B497,'[1]BD assignatures'!$X$25:$BJI$33,7,FALSE)</f>
        <v>14</v>
      </c>
      <c r="P497" s="248">
        <f t="shared" si="6"/>
        <v>0.25925925925925924</v>
      </c>
      <c r="Q497" s="286">
        <f>HLOOKUP(B497,'[1]BD assignatures'!$X$25:$BJ$33,9,FALSE)</f>
        <v>1</v>
      </c>
      <c r="R497" s="248">
        <f t="shared" si="7"/>
        <v>1.8518518518518517E-2</v>
      </c>
      <c r="S497" s="286">
        <f>HLOOKUP(B497,'[1]BD assignatures'!$X$25:$BJ$33,4,FALSE)</f>
        <v>0</v>
      </c>
      <c r="T497" s="248">
        <f t="shared" si="8"/>
        <v>0</v>
      </c>
      <c r="U497" s="286">
        <f>HLOOKUP(B497,'[1]BD assignatures'!$X$25:$BJ$33,5,FALSE)</f>
        <v>0</v>
      </c>
      <c r="V497" s="248">
        <f t="shared" si="9"/>
        <v>0</v>
      </c>
      <c r="X497" s="716">
        <f t="shared" si="10"/>
        <v>0</v>
      </c>
    </row>
    <row r="498" spans="2:24" s="33" customFormat="1" ht="21.75" customHeight="1" thickBot="1" x14ac:dyDescent="0.2">
      <c r="B498" s="246">
        <v>37214105</v>
      </c>
      <c r="C498" s="1011" t="s">
        <v>489</v>
      </c>
      <c r="D498" s="1011"/>
      <c r="E498" s="247" t="s">
        <v>284</v>
      </c>
      <c r="F498" s="246" t="s">
        <v>475</v>
      </c>
      <c r="G498" s="1083">
        <f>VLOOKUP(B498,'[1]BD assignatures'!A:B,2,FALSE)</f>
        <v>39</v>
      </c>
      <c r="H498" s="1083"/>
      <c r="I498" s="1082" t="s">
        <v>476</v>
      </c>
      <c r="J498" s="1082"/>
      <c r="K498" s="286">
        <f>HLOOKUP(B498,'[1]BD assignatures'!$X$25:$BJ$33,3,FALSE)</f>
        <v>11</v>
      </c>
      <c r="L498" s="248">
        <f t="shared" si="4"/>
        <v>0.28205128205128205</v>
      </c>
      <c r="M498" s="286">
        <f>HLOOKUP(B498,'[1]BD assignatures'!$X$25:$BJ$33,6,FALSE)</f>
        <v>0</v>
      </c>
      <c r="N498" s="248">
        <f t="shared" si="5"/>
        <v>0</v>
      </c>
      <c r="O498" s="286">
        <f>HLOOKUP(B498,'[1]BD assignatures'!$X$25:$BJI$33,7,FALSE)</f>
        <v>19</v>
      </c>
      <c r="P498" s="248">
        <f t="shared" si="6"/>
        <v>0.48717948717948717</v>
      </c>
      <c r="Q498" s="286">
        <f>HLOOKUP(B498,'[1]BD assignatures'!$X$25:$BJ$33,9,FALSE)</f>
        <v>0</v>
      </c>
      <c r="R498" s="248">
        <f t="shared" si="7"/>
        <v>0</v>
      </c>
      <c r="S498" s="286">
        <f>HLOOKUP(B498,'[1]BD assignatures'!$X$25:$BJ$33,4,FALSE)</f>
        <v>9</v>
      </c>
      <c r="T498" s="248">
        <f t="shared" si="8"/>
        <v>0.23076923076923078</v>
      </c>
      <c r="U498" s="286">
        <f>HLOOKUP(B498,'[1]BD assignatures'!$X$25:$BJ$33,5,FALSE)</f>
        <v>0</v>
      </c>
      <c r="V498" s="248">
        <f t="shared" si="9"/>
        <v>0</v>
      </c>
      <c r="X498" s="716">
        <f t="shared" si="10"/>
        <v>0</v>
      </c>
    </row>
    <row r="499" spans="2:24" s="33" customFormat="1" ht="21.75" customHeight="1" thickBot="1" x14ac:dyDescent="0.2">
      <c r="B499" s="246">
        <v>37214109</v>
      </c>
      <c r="C499" s="1011" t="s">
        <v>490</v>
      </c>
      <c r="D499" s="1011"/>
      <c r="E499" s="247" t="s">
        <v>284</v>
      </c>
      <c r="F499" s="246" t="s">
        <v>475</v>
      </c>
      <c r="G499" s="1083">
        <f>VLOOKUP(B499,'[1]BD assignatures'!A:B,2,FALSE)</f>
        <v>72</v>
      </c>
      <c r="H499" s="1083"/>
      <c r="I499" s="1082" t="s">
        <v>476</v>
      </c>
      <c r="J499" s="1082"/>
      <c r="K499" s="286">
        <f>HLOOKUP(B499,'[1]BD assignatures'!$X$25:$BJ$33,3,FALSE)</f>
        <v>27</v>
      </c>
      <c r="L499" s="248">
        <f t="shared" si="4"/>
        <v>0.375</v>
      </c>
      <c r="M499" s="286">
        <f>HLOOKUP(B499,'[1]BD assignatures'!$X$25:$BJ$33,6,FALSE)</f>
        <v>0</v>
      </c>
      <c r="N499" s="248">
        <f t="shared" si="5"/>
        <v>0</v>
      </c>
      <c r="O499" s="286">
        <f>HLOOKUP(B499,'[1]BD assignatures'!$X$25:$BJI$33,7,FALSE)</f>
        <v>8</v>
      </c>
      <c r="P499" s="248">
        <f t="shared" si="6"/>
        <v>0.1111111111111111</v>
      </c>
      <c r="Q499" s="286">
        <f>HLOOKUP(B499,'[1]BD assignatures'!$X$25:$BJ$33,9,FALSE)</f>
        <v>37</v>
      </c>
      <c r="R499" s="248">
        <f t="shared" si="7"/>
        <v>0.51388888888888884</v>
      </c>
      <c r="S499" s="286">
        <f>HLOOKUP(B499,'[1]BD assignatures'!$X$25:$BJ$33,4,FALSE)</f>
        <v>0</v>
      </c>
      <c r="T499" s="248">
        <f t="shared" si="8"/>
        <v>0</v>
      </c>
      <c r="U499" s="286">
        <f>HLOOKUP(B499,'[1]BD assignatures'!$X$25:$BJ$33,5,FALSE)</f>
        <v>0</v>
      </c>
      <c r="V499" s="248">
        <f t="shared" si="9"/>
        <v>0</v>
      </c>
      <c r="X499" s="716">
        <f t="shared" si="10"/>
        <v>0</v>
      </c>
    </row>
    <row r="500" spans="2:24" s="33" customFormat="1" ht="35.25" customHeight="1" thickBot="1" x14ac:dyDescent="0.2">
      <c r="B500" s="246">
        <v>37214007</v>
      </c>
      <c r="C500" s="1011" t="s">
        <v>491</v>
      </c>
      <c r="D500" s="1011"/>
      <c r="E500" s="247" t="s">
        <v>261</v>
      </c>
      <c r="F500" s="246" t="s">
        <v>475</v>
      </c>
      <c r="G500" s="1083">
        <f>VLOOKUP(B500,'[1]BD assignatures'!A:B,2,FALSE)</f>
        <v>62</v>
      </c>
      <c r="H500" s="1083"/>
      <c r="I500" s="1082" t="s">
        <v>476</v>
      </c>
      <c r="J500" s="1082"/>
      <c r="K500" s="286">
        <f>HLOOKUP(B500,'[1]BD assignatures'!$X$25:$BJ$33,3,FALSE)</f>
        <v>32</v>
      </c>
      <c r="L500" s="248">
        <f t="shared" si="4"/>
        <v>0.5161290322580645</v>
      </c>
      <c r="M500" s="286">
        <f>HLOOKUP(B500,'[1]BD assignatures'!$X$25:$BJ$33,6,FALSE)</f>
        <v>1</v>
      </c>
      <c r="N500" s="248">
        <f t="shared" si="5"/>
        <v>1.6129032258064516E-2</v>
      </c>
      <c r="O500" s="286">
        <f>HLOOKUP(B500,'[1]BD assignatures'!$X$25:$BJI$33,7,FALSE)</f>
        <v>12</v>
      </c>
      <c r="P500" s="248">
        <f t="shared" si="6"/>
        <v>0.19354838709677419</v>
      </c>
      <c r="Q500" s="286">
        <f>HLOOKUP(B500,'[1]BD assignatures'!$X$25:$BJ$33,9,FALSE)</f>
        <v>17</v>
      </c>
      <c r="R500" s="248">
        <f t="shared" si="7"/>
        <v>0.27419354838709675</v>
      </c>
      <c r="S500" s="286">
        <f>HLOOKUP(B500,'[1]BD assignatures'!$X$25:$BJ$33,4,FALSE)</f>
        <v>0</v>
      </c>
      <c r="T500" s="248">
        <f t="shared" si="8"/>
        <v>0</v>
      </c>
      <c r="U500" s="286">
        <f>HLOOKUP(B500,'[1]BD assignatures'!$X$25:$BJ$33,5,FALSE)</f>
        <v>0</v>
      </c>
      <c r="V500" s="248">
        <f t="shared" si="9"/>
        <v>0</v>
      </c>
      <c r="X500" s="716">
        <f t="shared" si="10"/>
        <v>0</v>
      </c>
    </row>
    <row r="501" spans="2:24" s="33" customFormat="1" ht="34.5" customHeight="1" thickBot="1" x14ac:dyDescent="0.2">
      <c r="B501" s="270">
        <v>37214116</v>
      </c>
      <c r="C501" s="1088" t="s">
        <v>492</v>
      </c>
      <c r="D501" s="1088"/>
      <c r="E501" s="271" t="s">
        <v>284</v>
      </c>
      <c r="F501" s="270" t="s">
        <v>475</v>
      </c>
      <c r="G501" s="1087">
        <f>VLOOKUP(B501,'[1]BD assignatures'!A:B,2,FALSE)</f>
        <v>48</v>
      </c>
      <c r="H501" s="1087"/>
      <c r="I501" s="1087" t="s">
        <v>476</v>
      </c>
      <c r="J501" s="1087"/>
      <c r="K501" s="286">
        <f>HLOOKUP(B501,'[1]BD assignatures'!$X$25:$BJ$33,3,FALSE)</f>
        <v>22</v>
      </c>
      <c r="L501" s="272">
        <f t="shared" si="4"/>
        <v>0.45833333333333331</v>
      </c>
      <c r="M501" s="286">
        <f>HLOOKUP(B501,'[1]BD assignatures'!$X$25:$BJ$33,6,FALSE)</f>
        <v>2</v>
      </c>
      <c r="N501" s="272">
        <f t="shared" si="5"/>
        <v>4.1666666666666664E-2</v>
      </c>
      <c r="O501" s="286">
        <f>HLOOKUP(B501,'[1]BD assignatures'!$X$25:$BJI$33,7,FALSE)</f>
        <v>20</v>
      </c>
      <c r="P501" s="272">
        <f t="shared" si="6"/>
        <v>0.41666666666666669</v>
      </c>
      <c r="Q501" s="286">
        <f>HLOOKUP(B501,'[1]BD assignatures'!$X$25:$BJ$33,9,FALSE)</f>
        <v>2</v>
      </c>
      <c r="R501" s="272">
        <f t="shared" si="7"/>
        <v>4.1666666666666664E-2</v>
      </c>
      <c r="S501" s="286">
        <f>HLOOKUP(B501,'[1]BD assignatures'!$X$25:$BJ$33,4,FALSE)</f>
        <v>2</v>
      </c>
      <c r="T501" s="272">
        <f t="shared" si="8"/>
        <v>4.1666666666666664E-2</v>
      </c>
      <c r="U501" s="286">
        <f>HLOOKUP(B501,'[1]BD assignatures'!$X$25:$BJ$33,5,FALSE)</f>
        <v>0</v>
      </c>
      <c r="V501" s="272">
        <f t="shared" si="9"/>
        <v>0</v>
      </c>
      <c r="X501" s="716">
        <f t="shared" si="10"/>
        <v>0</v>
      </c>
    </row>
    <row r="502" spans="2:24" s="33" customFormat="1" ht="21.75" customHeight="1" thickBot="1" x14ac:dyDescent="0.2">
      <c r="B502" s="252">
        <v>37214103</v>
      </c>
      <c r="C502" s="1011" t="s">
        <v>493</v>
      </c>
      <c r="D502" s="1011"/>
      <c r="E502" s="253" t="s">
        <v>284</v>
      </c>
      <c r="F502" s="252" t="s">
        <v>475</v>
      </c>
      <c r="G502" s="1083">
        <f>VLOOKUP(B502,'[1]BD assignatures'!A:B,2,FALSE)</f>
        <v>22</v>
      </c>
      <c r="H502" s="1083"/>
      <c r="I502" s="1083" t="s">
        <v>476</v>
      </c>
      <c r="J502" s="1083"/>
      <c r="K502" s="286">
        <f>HLOOKUP(B502,'[1]BD assignatures'!$X$25:$BJ$33,3,FALSE)</f>
        <v>5</v>
      </c>
      <c r="L502" s="254">
        <f t="shared" si="4"/>
        <v>0.22727272727272727</v>
      </c>
      <c r="M502" s="286">
        <f>HLOOKUP(B502,'[1]BD assignatures'!$X$25:$BJ$33,6,FALSE)</f>
        <v>0</v>
      </c>
      <c r="N502" s="254">
        <f t="shared" si="5"/>
        <v>0</v>
      </c>
      <c r="O502" s="286">
        <f>HLOOKUP(B502,'[1]BD assignatures'!$X$25:$BJI$33,7,FALSE)</f>
        <v>14</v>
      </c>
      <c r="P502" s="254">
        <f t="shared" si="6"/>
        <v>0.63636363636363635</v>
      </c>
      <c r="Q502" s="286">
        <f>HLOOKUP(B502,'[1]BD assignatures'!$X$25:$BJ$33,9,FALSE)</f>
        <v>0</v>
      </c>
      <c r="R502" s="254">
        <f t="shared" si="7"/>
        <v>0</v>
      </c>
      <c r="S502" s="286">
        <f>HLOOKUP(B502,'[1]BD assignatures'!$X$25:$BJ$33,4,FALSE)</f>
        <v>2</v>
      </c>
      <c r="T502" s="254">
        <f t="shared" si="8"/>
        <v>9.0909090909090912E-2</v>
      </c>
      <c r="U502" s="286">
        <f>HLOOKUP(B502,'[1]BD assignatures'!$X$25:$BJ$33,5,FALSE)</f>
        <v>1</v>
      </c>
      <c r="V502" s="254">
        <f t="shared" si="9"/>
        <v>4.5454545454545456E-2</v>
      </c>
      <c r="X502" s="716">
        <f t="shared" si="10"/>
        <v>0</v>
      </c>
    </row>
    <row r="503" spans="2:24" s="33" customFormat="1" ht="21.75" customHeight="1" thickBot="1" x14ac:dyDescent="0.2">
      <c r="B503" s="246">
        <v>37214108</v>
      </c>
      <c r="C503" s="1011" t="s">
        <v>296</v>
      </c>
      <c r="D503" s="1011"/>
      <c r="E503" s="247" t="s">
        <v>284</v>
      </c>
      <c r="F503" s="246" t="s">
        <v>181</v>
      </c>
      <c r="G503" s="1083">
        <f>VLOOKUP(B503,'[1]BD assignatures'!A:B,2,FALSE)</f>
        <v>32</v>
      </c>
      <c r="H503" s="1083"/>
      <c r="I503" s="1082" t="s">
        <v>476</v>
      </c>
      <c r="J503" s="1082"/>
      <c r="K503" s="286">
        <f>HLOOKUP(B503,'[1]BD assignatures'!$X$25:$BJ$33,3,FALSE)</f>
        <v>9</v>
      </c>
      <c r="L503" s="248">
        <f t="shared" si="4"/>
        <v>0.28125</v>
      </c>
      <c r="M503" s="286">
        <f>HLOOKUP(B503,'[1]BD assignatures'!$X$25:$BJ$33,6,FALSE)</f>
        <v>1</v>
      </c>
      <c r="N503" s="248">
        <f t="shared" si="5"/>
        <v>3.125E-2</v>
      </c>
      <c r="O503" s="286">
        <f>HLOOKUP(B503,'[1]BD assignatures'!$X$25:$BJI$33,7,FALSE)</f>
        <v>21</v>
      </c>
      <c r="P503" s="248">
        <f t="shared" si="6"/>
        <v>0.65625</v>
      </c>
      <c r="Q503" s="286">
        <f>HLOOKUP(B503,'[1]BD assignatures'!$X$25:$BJ$33,9,FALSE)</f>
        <v>1</v>
      </c>
      <c r="R503" s="248">
        <f t="shared" si="7"/>
        <v>3.125E-2</v>
      </c>
      <c r="S503" s="286">
        <f>HLOOKUP(B503,'[1]BD assignatures'!$X$25:$BJ$33,4,FALSE)</f>
        <v>0</v>
      </c>
      <c r="T503" s="248">
        <f t="shared" si="8"/>
        <v>0</v>
      </c>
      <c r="U503" s="286">
        <f>HLOOKUP(B503,'[1]BD assignatures'!$X$25:$BJ$33,5,FALSE)</f>
        <v>0</v>
      </c>
      <c r="V503" s="248">
        <f t="shared" si="9"/>
        <v>0</v>
      </c>
      <c r="X503" s="716">
        <f t="shared" si="10"/>
        <v>0</v>
      </c>
    </row>
    <row r="504" spans="2:24" s="33" customFormat="1" ht="21.75" customHeight="1" thickBot="1" x14ac:dyDescent="0.2">
      <c r="B504" s="246">
        <v>37214110</v>
      </c>
      <c r="C504" s="1011" t="s">
        <v>494</v>
      </c>
      <c r="D504" s="1011"/>
      <c r="E504" s="247" t="s">
        <v>284</v>
      </c>
      <c r="F504" s="246" t="s">
        <v>475</v>
      </c>
      <c r="G504" s="1083">
        <f>VLOOKUP(B504,'[1]BD assignatures'!A:B,2,FALSE)</f>
        <v>18</v>
      </c>
      <c r="H504" s="1083"/>
      <c r="I504" s="1082" t="s">
        <v>476</v>
      </c>
      <c r="J504" s="1082"/>
      <c r="K504" s="286">
        <f>HLOOKUP(B504,'[1]BD assignatures'!$X$25:$BJ$33,3,FALSE)</f>
        <v>5</v>
      </c>
      <c r="L504" s="248">
        <f t="shared" si="4"/>
        <v>0.27777777777777779</v>
      </c>
      <c r="M504" s="286">
        <f>HLOOKUP(B504,'[1]BD assignatures'!$X$25:$BJ$33,6,FALSE)</f>
        <v>0</v>
      </c>
      <c r="N504" s="248">
        <f t="shared" si="5"/>
        <v>0</v>
      </c>
      <c r="O504" s="286">
        <f>HLOOKUP(B504,'[1]BD assignatures'!$X$25:$BJI$33,7,FALSE)</f>
        <v>13</v>
      </c>
      <c r="P504" s="248">
        <f t="shared" si="6"/>
        <v>0.72222222222222221</v>
      </c>
      <c r="Q504" s="286">
        <f>HLOOKUP(B504,'[1]BD assignatures'!$X$25:$BJ$33,9,FALSE)</f>
        <v>0</v>
      </c>
      <c r="R504" s="248">
        <f t="shared" si="7"/>
        <v>0</v>
      </c>
      <c r="S504" s="286">
        <f>HLOOKUP(B504,'[1]BD assignatures'!$X$25:$BJ$33,4,FALSE)</f>
        <v>0</v>
      </c>
      <c r="T504" s="248">
        <f t="shared" si="8"/>
        <v>0</v>
      </c>
      <c r="U504" s="286">
        <f>HLOOKUP(B504,'[1]BD assignatures'!$X$25:$BJ$33,5,FALSE)</f>
        <v>0</v>
      </c>
      <c r="V504" s="248">
        <f t="shared" si="9"/>
        <v>0</v>
      </c>
      <c r="X504" s="716">
        <f t="shared" si="10"/>
        <v>0</v>
      </c>
    </row>
    <row r="505" spans="2:24" s="33" customFormat="1" ht="21.75" customHeight="1" thickBot="1" x14ac:dyDescent="0.2">
      <c r="B505" s="246">
        <v>37214112</v>
      </c>
      <c r="C505" s="1011" t="s">
        <v>495</v>
      </c>
      <c r="D505" s="1011"/>
      <c r="E505" s="247" t="s">
        <v>284</v>
      </c>
      <c r="F505" s="246" t="s">
        <v>475</v>
      </c>
      <c r="G505" s="1083">
        <f>VLOOKUP(B505,'[1]BD assignatures'!A:B,2,FALSE)</f>
        <v>25</v>
      </c>
      <c r="H505" s="1083"/>
      <c r="I505" s="1082" t="s">
        <v>476</v>
      </c>
      <c r="J505" s="1082"/>
      <c r="K505" s="286">
        <f>HLOOKUP(B505,'[1]BD assignatures'!$X$25:$BJ$33,3,FALSE)</f>
        <v>9</v>
      </c>
      <c r="L505" s="248">
        <f t="shared" si="4"/>
        <v>0.36</v>
      </c>
      <c r="M505" s="286">
        <f>HLOOKUP(B505,'[1]BD assignatures'!$X$25:$BJ$33,6,FALSE)</f>
        <v>1</v>
      </c>
      <c r="N505" s="248">
        <f t="shared" si="5"/>
        <v>0.04</v>
      </c>
      <c r="O505" s="286">
        <f>HLOOKUP(B505,'[1]BD assignatures'!$X$25:$BJI$33,7,FALSE)</f>
        <v>14</v>
      </c>
      <c r="P505" s="248">
        <f t="shared" si="6"/>
        <v>0.56000000000000005</v>
      </c>
      <c r="Q505" s="286">
        <f>HLOOKUP(B505,'[1]BD assignatures'!$X$25:$BJ$33,9,FALSE)</f>
        <v>1</v>
      </c>
      <c r="R505" s="248">
        <f t="shared" si="7"/>
        <v>0.04</v>
      </c>
      <c r="S505" s="286">
        <f>HLOOKUP(B505,'[1]BD assignatures'!$X$25:$BJ$33,4,FALSE)</f>
        <v>0</v>
      </c>
      <c r="T505" s="248">
        <f t="shared" si="8"/>
        <v>0</v>
      </c>
      <c r="U505" s="286">
        <f>HLOOKUP(B505,'[1]BD assignatures'!$X$25:$BJ$33,5,FALSE)</f>
        <v>0</v>
      </c>
      <c r="V505" s="248">
        <f t="shared" si="9"/>
        <v>0</v>
      </c>
      <c r="X505" s="716">
        <f t="shared" si="10"/>
        <v>0</v>
      </c>
    </row>
    <row r="506" spans="2:24" s="33" customFormat="1" ht="21.75" customHeight="1" thickBot="1" x14ac:dyDescent="0.2">
      <c r="B506" s="246">
        <v>37214114</v>
      </c>
      <c r="C506" s="1011" t="s">
        <v>303</v>
      </c>
      <c r="D506" s="1011"/>
      <c r="E506" s="247" t="s">
        <v>284</v>
      </c>
      <c r="F506" s="246" t="s">
        <v>475</v>
      </c>
      <c r="G506" s="1083">
        <f>VLOOKUP(B506,'[1]BD assignatures'!A:B,2,FALSE)</f>
        <v>23</v>
      </c>
      <c r="H506" s="1083"/>
      <c r="I506" s="1082" t="s">
        <v>476</v>
      </c>
      <c r="J506" s="1082"/>
      <c r="K506" s="286">
        <f>HLOOKUP(B506,'[1]BD assignatures'!$X$25:$BJ$33,3,FALSE)</f>
        <v>12</v>
      </c>
      <c r="L506" s="248">
        <f t="shared" si="4"/>
        <v>0.52173913043478259</v>
      </c>
      <c r="M506" s="286">
        <f>HLOOKUP(B506,'[1]BD assignatures'!$X$25:$BJ$33,6,FALSE)</f>
        <v>2</v>
      </c>
      <c r="N506" s="248">
        <f t="shared" si="5"/>
        <v>8.6956521739130432E-2</v>
      </c>
      <c r="O506" s="286">
        <f>HLOOKUP(B506,'[1]BD assignatures'!$X$25:$BJI$33,7,FALSE)</f>
        <v>8</v>
      </c>
      <c r="P506" s="248">
        <f t="shared" si="6"/>
        <v>0.34782608695652173</v>
      </c>
      <c r="Q506" s="286">
        <f>HLOOKUP(B506,'[1]BD assignatures'!$X$25:$BJ$33,9,FALSE)</f>
        <v>0</v>
      </c>
      <c r="R506" s="248">
        <f t="shared" si="7"/>
        <v>0</v>
      </c>
      <c r="S506" s="286">
        <f>HLOOKUP(B506,'[1]BD assignatures'!$X$25:$BJ$33,4,FALSE)</f>
        <v>1</v>
      </c>
      <c r="T506" s="248">
        <f t="shared" si="8"/>
        <v>4.3478260869565216E-2</v>
      </c>
      <c r="U506" s="286">
        <f>HLOOKUP(B506,'[1]BD assignatures'!$X$25:$BJ$33,5,FALSE)</f>
        <v>0</v>
      </c>
      <c r="V506" s="248">
        <f t="shared" si="9"/>
        <v>0</v>
      </c>
      <c r="X506" s="716">
        <f t="shared" si="10"/>
        <v>0</v>
      </c>
    </row>
    <row r="507" spans="2:24" s="33" customFormat="1" ht="21.75" customHeight="1" thickBot="1" x14ac:dyDescent="0.2">
      <c r="B507" s="246">
        <v>37214113</v>
      </c>
      <c r="C507" s="1011" t="s">
        <v>496</v>
      </c>
      <c r="D507" s="1011"/>
      <c r="E507" s="247" t="s">
        <v>284</v>
      </c>
      <c r="F507" s="246" t="s">
        <v>475</v>
      </c>
      <c r="G507" s="1083">
        <f>VLOOKUP(B507,'[1]BD assignatures'!A:B,2,FALSE)</f>
        <v>24</v>
      </c>
      <c r="H507" s="1083"/>
      <c r="I507" s="1082" t="s">
        <v>476</v>
      </c>
      <c r="J507" s="1082"/>
      <c r="K507" s="286">
        <f>HLOOKUP(B507,'[1]BD assignatures'!$X$25:$BJ$33,3,FALSE)</f>
        <v>8</v>
      </c>
      <c r="L507" s="248">
        <f t="shared" si="4"/>
        <v>0.33333333333333331</v>
      </c>
      <c r="M507" s="286">
        <f>HLOOKUP(B507,'[1]BD assignatures'!$X$25:$BJ$33,6,FALSE)</f>
        <v>1</v>
      </c>
      <c r="N507" s="248">
        <f t="shared" si="5"/>
        <v>4.1666666666666664E-2</v>
      </c>
      <c r="O507" s="286">
        <f>HLOOKUP(B507,'[1]BD assignatures'!$X$25:$BJI$33,7,FALSE)</f>
        <v>13</v>
      </c>
      <c r="P507" s="248">
        <f t="shared" si="6"/>
        <v>0.54166666666666663</v>
      </c>
      <c r="Q507" s="286">
        <f>HLOOKUP(B507,'[1]BD assignatures'!$X$25:$BJ$33,9,FALSE)</f>
        <v>1</v>
      </c>
      <c r="R507" s="248">
        <f t="shared" si="7"/>
        <v>4.1666666666666664E-2</v>
      </c>
      <c r="S507" s="286">
        <f>HLOOKUP(B507,'[1]BD assignatures'!$X$25:$BJ$33,4,FALSE)</f>
        <v>0</v>
      </c>
      <c r="T507" s="248">
        <f t="shared" si="8"/>
        <v>0</v>
      </c>
      <c r="U507" s="286">
        <f>HLOOKUP(B507,'[1]BD assignatures'!$X$25:$BJ$33,5,FALSE)</f>
        <v>1</v>
      </c>
      <c r="V507" s="248">
        <f t="shared" si="9"/>
        <v>4.1666666666666664E-2</v>
      </c>
      <c r="X507" s="716">
        <f t="shared" si="10"/>
        <v>0</v>
      </c>
    </row>
    <row r="508" spans="2:24" s="33" customFormat="1" ht="21.75" customHeight="1" thickBot="1" x14ac:dyDescent="0.2">
      <c r="B508" s="246">
        <v>37214117</v>
      </c>
      <c r="C508" s="1011" t="s">
        <v>308</v>
      </c>
      <c r="D508" s="1011"/>
      <c r="E508" s="247" t="s">
        <v>284</v>
      </c>
      <c r="F508" s="246" t="s">
        <v>475</v>
      </c>
      <c r="G508" s="1083">
        <f>VLOOKUP(B508,'[1]BD assignatures'!A:B,2,FALSE)</f>
        <v>21</v>
      </c>
      <c r="H508" s="1083"/>
      <c r="I508" s="1082" t="s">
        <v>476</v>
      </c>
      <c r="J508" s="1082"/>
      <c r="K508" s="286">
        <f>HLOOKUP(B508,'[1]BD assignatures'!$X$25:$BJ$33,3,FALSE)</f>
        <v>11</v>
      </c>
      <c r="L508" s="248">
        <f t="shared" si="4"/>
        <v>0.52380952380952384</v>
      </c>
      <c r="M508" s="286">
        <f>HLOOKUP(B508,'[1]BD assignatures'!$X$25:$BJ$33,6,FALSE)</f>
        <v>0</v>
      </c>
      <c r="N508" s="248">
        <f t="shared" si="5"/>
        <v>0</v>
      </c>
      <c r="O508" s="286">
        <f>HLOOKUP(B508,'[1]BD assignatures'!$X$25:$BJI$33,7,FALSE)</f>
        <v>9</v>
      </c>
      <c r="P508" s="248">
        <f t="shared" si="6"/>
        <v>0.42857142857142855</v>
      </c>
      <c r="Q508" s="286">
        <f>HLOOKUP(B508,'[1]BD assignatures'!$X$25:$BJ$33,9,FALSE)</f>
        <v>0</v>
      </c>
      <c r="R508" s="248">
        <f t="shared" si="7"/>
        <v>0</v>
      </c>
      <c r="S508" s="286">
        <f>HLOOKUP(B508,'[1]BD assignatures'!$X$25:$BJ$33,4,FALSE)</f>
        <v>1</v>
      </c>
      <c r="T508" s="248">
        <f t="shared" si="8"/>
        <v>4.7619047619047616E-2</v>
      </c>
      <c r="U508" s="286">
        <f>HLOOKUP(B508,'[1]BD assignatures'!$X$25:$BJ$33,5,FALSE)</f>
        <v>0</v>
      </c>
      <c r="V508" s="248">
        <f t="shared" si="9"/>
        <v>0</v>
      </c>
      <c r="X508" s="716">
        <f t="shared" si="10"/>
        <v>0</v>
      </c>
    </row>
    <row r="509" spans="2:24" s="33" customFormat="1" ht="21.75" customHeight="1" thickBot="1" x14ac:dyDescent="0.2">
      <c r="B509" s="246">
        <v>37214118</v>
      </c>
      <c r="C509" s="1011" t="s">
        <v>309</v>
      </c>
      <c r="D509" s="1011"/>
      <c r="E509" s="247" t="s">
        <v>284</v>
      </c>
      <c r="F509" s="246" t="s">
        <v>475</v>
      </c>
      <c r="G509" s="1083">
        <f>VLOOKUP(B509,'[1]BD assignatures'!A:B,2,FALSE)</f>
        <v>24</v>
      </c>
      <c r="H509" s="1083"/>
      <c r="I509" s="1082" t="s">
        <v>476</v>
      </c>
      <c r="J509" s="1082"/>
      <c r="K509" s="286">
        <f>HLOOKUP(B509,'[1]BD assignatures'!$X$25:$BJ$33,3,FALSE)</f>
        <v>5</v>
      </c>
      <c r="L509" s="248">
        <f t="shared" si="4"/>
        <v>0.20833333333333334</v>
      </c>
      <c r="M509" s="286">
        <f>HLOOKUP(B509,'[1]BD assignatures'!$X$25:$BJ$33,6,FALSE)</f>
        <v>1</v>
      </c>
      <c r="N509" s="248">
        <f t="shared" si="5"/>
        <v>4.1666666666666664E-2</v>
      </c>
      <c r="O509" s="286">
        <f>HLOOKUP(B509,'[1]BD assignatures'!$X$25:$BJI$33,7,FALSE)</f>
        <v>18</v>
      </c>
      <c r="P509" s="248">
        <f t="shared" si="6"/>
        <v>0.75</v>
      </c>
      <c r="Q509" s="286">
        <f>HLOOKUP(B509,'[1]BD assignatures'!$X$25:$BJ$33,9,FALSE)</f>
        <v>0</v>
      </c>
      <c r="R509" s="248">
        <f t="shared" si="7"/>
        <v>0</v>
      </c>
      <c r="S509" s="286">
        <f>HLOOKUP(B509,'[1]BD assignatures'!$X$25:$BJ$33,4,FALSE)</f>
        <v>0</v>
      </c>
      <c r="T509" s="248">
        <f t="shared" si="8"/>
        <v>0</v>
      </c>
      <c r="U509" s="286">
        <f>HLOOKUP(B509,'[1]BD assignatures'!$X$25:$BJ$33,5,FALSE)</f>
        <v>0</v>
      </c>
      <c r="V509" s="248">
        <f t="shared" si="9"/>
        <v>0</v>
      </c>
      <c r="X509" s="716">
        <f t="shared" si="10"/>
        <v>0</v>
      </c>
    </row>
    <row r="510" spans="2:24" s="33" customFormat="1" ht="34.5" customHeight="1" thickBot="1" x14ac:dyDescent="0.2">
      <c r="B510" s="270">
        <v>37214121</v>
      </c>
      <c r="C510" s="1088" t="s">
        <v>497</v>
      </c>
      <c r="D510" s="1088"/>
      <c r="E510" s="271" t="s">
        <v>284</v>
      </c>
      <c r="F510" s="270" t="s">
        <v>475</v>
      </c>
      <c r="G510" s="1087">
        <f>VLOOKUP(B510,'[1]BD assignatures'!A:B,2,FALSE)</f>
        <v>20</v>
      </c>
      <c r="H510" s="1087"/>
      <c r="I510" s="1087" t="s">
        <v>476</v>
      </c>
      <c r="J510" s="1087"/>
      <c r="K510" s="286">
        <f>HLOOKUP(B510,'[1]BD assignatures'!$X$25:$BJ$33,3,FALSE)</f>
        <v>11</v>
      </c>
      <c r="L510" s="272">
        <f t="shared" si="4"/>
        <v>0.55000000000000004</v>
      </c>
      <c r="M510" s="286">
        <f>HLOOKUP(B510,'[1]BD assignatures'!$X$25:$BJ$33,6,FALSE)</f>
        <v>0</v>
      </c>
      <c r="N510" s="272">
        <f t="shared" si="5"/>
        <v>0</v>
      </c>
      <c r="O510" s="286">
        <f>HLOOKUP(B510,'[1]BD assignatures'!$X$25:$BJI$33,7,FALSE)</f>
        <v>8</v>
      </c>
      <c r="P510" s="272">
        <f t="shared" si="6"/>
        <v>0.4</v>
      </c>
      <c r="Q510" s="286">
        <f>HLOOKUP(B510,'[1]BD assignatures'!$X$25:$BJ$33,9,FALSE)</f>
        <v>0</v>
      </c>
      <c r="R510" s="272">
        <f t="shared" si="7"/>
        <v>0</v>
      </c>
      <c r="S510" s="286">
        <f>HLOOKUP(B510,'[1]BD assignatures'!$X$25:$BJ$33,4,FALSE)</f>
        <v>0</v>
      </c>
      <c r="T510" s="272">
        <f t="shared" si="8"/>
        <v>0</v>
      </c>
      <c r="U510" s="286">
        <f>HLOOKUP(B510,'[1]BD assignatures'!$X$25:$BJ$33,5,FALSE)</f>
        <v>1</v>
      </c>
      <c r="V510" s="272">
        <f t="shared" si="9"/>
        <v>0.05</v>
      </c>
      <c r="X510" s="716">
        <f t="shared" si="10"/>
        <v>0</v>
      </c>
    </row>
    <row r="511" spans="2:24" s="33" customFormat="1" ht="21.75" customHeight="1" thickBot="1" x14ac:dyDescent="0.2">
      <c r="B511" s="252">
        <v>37214111</v>
      </c>
      <c r="C511" s="1011" t="s">
        <v>299</v>
      </c>
      <c r="D511" s="1011"/>
      <c r="E511" s="253" t="s">
        <v>284</v>
      </c>
      <c r="F511" s="252" t="s">
        <v>475</v>
      </c>
      <c r="G511" s="1083">
        <f>VLOOKUP(B511,'[1]BD assignatures'!A:B,2,FALSE)</f>
        <v>24</v>
      </c>
      <c r="H511" s="1083"/>
      <c r="I511" s="1083" t="s">
        <v>476</v>
      </c>
      <c r="J511" s="1083"/>
      <c r="K511" s="286">
        <f>HLOOKUP(B511,'[1]BD assignatures'!$X$25:$BJ$33,3,FALSE)</f>
        <v>17</v>
      </c>
      <c r="L511" s="254">
        <f t="shared" si="4"/>
        <v>0.70833333333333337</v>
      </c>
      <c r="M511" s="286">
        <f>HLOOKUP(B511,'[1]BD assignatures'!$X$25:$BJ$33,6,FALSE)</f>
        <v>1</v>
      </c>
      <c r="N511" s="254">
        <f t="shared" si="5"/>
        <v>4.1666666666666664E-2</v>
      </c>
      <c r="O511" s="286">
        <f>HLOOKUP(B511,'[1]BD assignatures'!$X$25:$BJI$33,7,FALSE)</f>
        <v>3</v>
      </c>
      <c r="P511" s="254">
        <f t="shared" si="6"/>
        <v>0.125</v>
      </c>
      <c r="Q511" s="286">
        <f>HLOOKUP(B511,'[1]BD assignatures'!$X$25:$BJ$33,9,FALSE)</f>
        <v>3</v>
      </c>
      <c r="R511" s="254">
        <f t="shared" si="7"/>
        <v>0.125</v>
      </c>
      <c r="S511" s="286">
        <f>HLOOKUP(B511,'[1]BD assignatures'!$X$25:$BJ$33,4,FALSE)</f>
        <v>0</v>
      </c>
      <c r="T511" s="254">
        <f t="shared" si="8"/>
        <v>0</v>
      </c>
      <c r="U511" s="286">
        <f>HLOOKUP(B511,'[1]BD assignatures'!$X$25:$BJ$33,5,FALSE)</f>
        <v>0</v>
      </c>
      <c r="V511" s="254">
        <f t="shared" si="9"/>
        <v>0</v>
      </c>
      <c r="X511" s="716">
        <f t="shared" si="10"/>
        <v>0</v>
      </c>
    </row>
    <row r="512" spans="2:24" s="33" customFormat="1" ht="21.75" customHeight="1" thickBot="1" x14ac:dyDescent="0.2">
      <c r="B512" s="246">
        <v>37214115</v>
      </c>
      <c r="C512" s="1011" t="s">
        <v>305</v>
      </c>
      <c r="D512" s="1011"/>
      <c r="E512" s="247" t="s">
        <v>284</v>
      </c>
      <c r="F512" s="246" t="s">
        <v>475</v>
      </c>
      <c r="G512" s="1083">
        <f>VLOOKUP(B512,'[1]BD assignatures'!A:B,2,FALSE)</f>
        <v>19</v>
      </c>
      <c r="H512" s="1083"/>
      <c r="I512" s="1082" t="s">
        <v>476</v>
      </c>
      <c r="J512" s="1082"/>
      <c r="K512" s="286">
        <f>HLOOKUP(B512,'[1]BD assignatures'!$X$25:$BJ$33,3,FALSE)</f>
        <v>2</v>
      </c>
      <c r="L512" s="248">
        <f t="shared" si="4"/>
        <v>0.10526315789473684</v>
      </c>
      <c r="M512" s="286">
        <f>HLOOKUP(B512,'[1]BD assignatures'!$X$25:$BJ$33,6,FALSE)</f>
        <v>0</v>
      </c>
      <c r="N512" s="248">
        <f t="shared" si="5"/>
        <v>0</v>
      </c>
      <c r="O512" s="286">
        <f>HLOOKUP(B512,'[1]BD assignatures'!$X$25:$BJI$33,7,FALSE)</f>
        <v>17</v>
      </c>
      <c r="P512" s="248">
        <f t="shared" si="6"/>
        <v>0.89473684210526316</v>
      </c>
      <c r="Q512" s="286">
        <f>HLOOKUP(B512,'[1]BD assignatures'!$X$25:$BJ$33,9,FALSE)</f>
        <v>0</v>
      </c>
      <c r="R512" s="248">
        <f t="shared" si="7"/>
        <v>0</v>
      </c>
      <c r="S512" s="286">
        <f>HLOOKUP(B512,'[1]BD assignatures'!$X$25:$BJ$33,4,FALSE)</f>
        <v>0</v>
      </c>
      <c r="T512" s="248">
        <f t="shared" si="8"/>
        <v>0</v>
      </c>
      <c r="U512" s="286">
        <f>HLOOKUP(B512,'[1]BD assignatures'!$X$25:$BJ$33,5,FALSE)</f>
        <v>0</v>
      </c>
      <c r="V512" s="248">
        <f t="shared" si="9"/>
        <v>0</v>
      </c>
      <c r="X512" s="716">
        <f t="shared" si="10"/>
        <v>0</v>
      </c>
    </row>
    <row r="513" spans="2:24" s="33" customFormat="1" ht="21.75" customHeight="1" thickBot="1" x14ac:dyDescent="0.2">
      <c r="B513" s="246">
        <v>37214119</v>
      </c>
      <c r="C513" s="1011" t="s">
        <v>312</v>
      </c>
      <c r="D513" s="1011"/>
      <c r="E513" s="247" t="s">
        <v>284</v>
      </c>
      <c r="F513" s="246" t="s">
        <v>475</v>
      </c>
      <c r="G513" s="1083">
        <f>VLOOKUP(B513,'[1]BD assignatures'!A:B,2,FALSE)</f>
        <v>20</v>
      </c>
      <c r="H513" s="1083"/>
      <c r="I513" s="1082" t="s">
        <v>476</v>
      </c>
      <c r="J513" s="1082"/>
      <c r="K513" s="286">
        <f>HLOOKUP(B513,'[1]BD assignatures'!$X$25:$BJ$33,3,FALSE)</f>
        <v>5</v>
      </c>
      <c r="L513" s="248">
        <f t="shared" si="4"/>
        <v>0.25</v>
      </c>
      <c r="M513" s="286">
        <f>HLOOKUP(B513,'[1]BD assignatures'!$X$25:$BJ$33,6,FALSE)</f>
        <v>0</v>
      </c>
      <c r="N513" s="248">
        <f t="shared" si="5"/>
        <v>0</v>
      </c>
      <c r="O513" s="286">
        <f>HLOOKUP(B513,'[1]BD assignatures'!$X$25:$BJI$33,7,FALSE)</f>
        <v>15</v>
      </c>
      <c r="P513" s="248">
        <f t="shared" si="6"/>
        <v>0.75</v>
      </c>
      <c r="Q513" s="286">
        <f>HLOOKUP(B513,'[1]BD assignatures'!$X$25:$BJ$33,9,FALSE)</f>
        <v>0</v>
      </c>
      <c r="R513" s="248">
        <f t="shared" si="7"/>
        <v>0</v>
      </c>
      <c r="S513" s="286">
        <f>HLOOKUP(B513,'[1]BD assignatures'!$X$25:$BJ$33,4,FALSE)</f>
        <v>0</v>
      </c>
      <c r="T513" s="248">
        <f t="shared" si="8"/>
        <v>0</v>
      </c>
      <c r="U513" s="286">
        <f>HLOOKUP(B513,'[1]BD assignatures'!$X$25:$BJ$33,5,FALSE)</f>
        <v>0</v>
      </c>
      <c r="V513" s="248">
        <f t="shared" si="9"/>
        <v>0</v>
      </c>
      <c r="X513" s="716">
        <f t="shared" si="10"/>
        <v>0</v>
      </c>
    </row>
    <row r="514" spans="2:24" s="33" customFormat="1" ht="33.75" customHeight="1" thickBot="1" x14ac:dyDescent="0.2">
      <c r="B514" s="246">
        <v>37214120</v>
      </c>
      <c r="C514" s="1011" t="s">
        <v>498</v>
      </c>
      <c r="D514" s="1011"/>
      <c r="E514" s="247" t="s">
        <v>284</v>
      </c>
      <c r="F514" s="246" t="s">
        <v>475</v>
      </c>
      <c r="G514" s="1083">
        <f>VLOOKUP(B514,'[1]BD assignatures'!A:B,2,FALSE)</f>
        <v>19</v>
      </c>
      <c r="H514" s="1083"/>
      <c r="I514" s="1082" t="s">
        <v>476</v>
      </c>
      <c r="J514" s="1082"/>
      <c r="K514" s="286">
        <f>HLOOKUP(B514,'[1]BD assignatures'!$X$25:$BJ$33,3,FALSE)</f>
        <v>5</v>
      </c>
      <c r="L514" s="248">
        <f t="shared" si="4"/>
        <v>0.26315789473684209</v>
      </c>
      <c r="M514" s="286">
        <f>HLOOKUP(B514,'[1]BD assignatures'!$X$25:$BJ$33,6,FALSE)</f>
        <v>1</v>
      </c>
      <c r="N514" s="248">
        <f t="shared" si="5"/>
        <v>5.2631578947368418E-2</v>
      </c>
      <c r="O514" s="286">
        <f>HLOOKUP(B514,'[1]BD assignatures'!$X$25:$BJI$33,7,FALSE)</f>
        <v>13</v>
      </c>
      <c r="P514" s="248">
        <f t="shared" si="6"/>
        <v>0.68421052631578949</v>
      </c>
      <c r="Q514" s="286">
        <f>HLOOKUP(B514,'[1]BD assignatures'!$X$25:$BJ$33,9,FALSE)</f>
        <v>0</v>
      </c>
      <c r="R514" s="248">
        <f t="shared" si="7"/>
        <v>0</v>
      </c>
      <c r="S514" s="286">
        <f>HLOOKUP(B514,'[1]BD assignatures'!$X$25:$BJ$33,4,FALSE)</f>
        <v>0</v>
      </c>
      <c r="T514" s="248">
        <f t="shared" si="8"/>
        <v>0</v>
      </c>
      <c r="U514" s="286">
        <f>HLOOKUP(B514,'[1]BD assignatures'!$X$25:$BJ$33,5,FALSE)</f>
        <v>0</v>
      </c>
      <c r="V514" s="248">
        <f t="shared" si="9"/>
        <v>0</v>
      </c>
      <c r="X514" s="716">
        <f t="shared" si="10"/>
        <v>0</v>
      </c>
    </row>
    <row r="515" spans="2:24" s="33" customFormat="1" ht="31.5" customHeight="1" thickBot="1" x14ac:dyDescent="0.2">
      <c r="B515" s="246">
        <v>37214201</v>
      </c>
      <c r="C515" s="1011" t="s">
        <v>499</v>
      </c>
      <c r="D515" s="1011"/>
      <c r="E515" s="247" t="s">
        <v>317</v>
      </c>
      <c r="F515" s="246" t="s">
        <v>475</v>
      </c>
      <c r="G515" s="1083">
        <f>VLOOKUP(B515,'[1]BD assignatures'!A:B,2,FALSE)</f>
        <v>8</v>
      </c>
      <c r="H515" s="1083"/>
      <c r="I515" s="1082" t="s">
        <v>476</v>
      </c>
      <c r="J515" s="1082"/>
      <c r="K515" s="286">
        <f>HLOOKUP(B515,'[1]BD assignatures'!$X$25:$BJ$33,3,FALSE)</f>
        <v>2</v>
      </c>
      <c r="L515" s="248">
        <f t="shared" si="4"/>
        <v>0.25</v>
      </c>
      <c r="M515" s="286">
        <f>HLOOKUP(B515,'[1]BD assignatures'!$X$25:$BJ$33,6,FALSE)</f>
        <v>0</v>
      </c>
      <c r="N515" s="248">
        <f t="shared" si="5"/>
        <v>0</v>
      </c>
      <c r="O515" s="286">
        <f>HLOOKUP(B515,'[1]BD assignatures'!$X$25:$BJI$33,7,FALSE)</f>
        <v>5</v>
      </c>
      <c r="P515" s="248">
        <f t="shared" si="6"/>
        <v>0.625</v>
      </c>
      <c r="Q515" s="286">
        <f>HLOOKUP(B515,'[1]BD assignatures'!$X$25:$BJ$33,9,FALSE)</f>
        <v>1</v>
      </c>
      <c r="R515" s="248">
        <f t="shared" si="7"/>
        <v>0.125</v>
      </c>
      <c r="S515" s="286">
        <f>HLOOKUP(B515,'[1]BD assignatures'!$X$25:$BJ$33,4,FALSE)</f>
        <v>0</v>
      </c>
      <c r="T515" s="248">
        <f t="shared" si="8"/>
        <v>0</v>
      </c>
      <c r="U515" s="286">
        <f>HLOOKUP(B515,'[1]BD assignatures'!$X$25:$BJ$33,5,FALSE)</f>
        <v>0</v>
      </c>
      <c r="V515" s="248">
        <f t="shared" si="9"/>
        <v>0</v>
      </c>
      <c r="X515" s="716">
        <f t="shared" si="10"/>
        <v>0</v>
      </c>
    </row>
    <row r="516" spans="2:24" s="33" customFormat="1" ht="29.25" customHeight="1" thickBot="1" x14ac:dyDescent="0.2">
      <c r="B516" s="246">
        <v>37214203</v>
      </c>
      <c r="C516" s="1011" t="s">
        <v>501</v>
      </c>
      <c r="D516" s="1011"/>
      <c r="E516" s="247" t="s">
        <v>317</v>
      </c>
      <c r="F516" s="246" t="s">
        <v>475</v>
      </c>
      <c r="G516" s="1083">
        <f>VLOOKUP(B516,'[1]BD assignatures'!A:B,2,FALSE)</f>
        <v>12</v>
      </c>
      <c r="H516" s="1083"/>
      <c r="I516" s="1082" t="s">
        <v>476</v>
      </c>
      <c r="J516" s="1082"/>
      <c r="K516" s="286">
        <f>HLOOKUP(B516,'[1]BD assignatures'!$X$25:$BJ$33,3,FALSE)</f>
        <v>0</v>
      </c>
      <c r="L516" s="248">
        <f t="shared" si="4"/>
        <v>0</v>
      </c>
      <c r="M516" s="286">
        <f>HLOOKUP(B516,'[1]BD assignatures'!$X$25:$BJ$33,6,FALSE)</f>
        <v>0</v>
      </c>
      <c r="N516" s="248">
        <f t="shared" si="5"/>
        <v>0</v>
      </c>
      <c r="O516" s="286">
        <f>HLOOKUP(B516,'[1]BD assignatures'!$X$25:$BJI$33,7,FALSE)</f>
        <v>9</v>
      </c>
      <c r="P516" s="248">
        <f t="shared" si="6"/>
        <v>0.75</v>
      </c>
      <c r="Q516" s="286">
        <f>HLOOKUP(B516,'[1]BD assignatures'!$X$25:$BJ$33,9,FALSE)</f>
        <v>0</v>
      </c>
      <c r="R516" s="248">
        <f t="shared" si="7"/>
        <v>0</v>
      </c>
      <c r="S516" s="286">
        <f>HLOOKUP(B516,'[1]BD assignatures'!$X$25:$BJ$33,4,FALSE)</f>
        <v>3</v>
      </c>
      <c r="T516" s="248">
        <f t="shared" si="8"/>
        <v>0.25</v>
      </c>
      <c r="U516" s="286">
        <f>HLOOKUP(B516,'[1]BD assignatures'!$X$25:$BJ$33,5,FALSE)</f>
        <v>0</v>
      </c>
      <c r="V516" s="248">
        <f t="shared" si="9"/>
        <v>0</v>
      </c>
      <c r="X516" s="716">
        <f t="shared" si="10"/>
        <v>0</v>
      </c>
    </row>
    <row r="517" spans="2:24" s="33" customFormat="1" ht="29.25" customHeight="1" thickBot="1" x14ac:dyDescent="0.2">
      <c r="B517" s="246">
        <v>37214204</v>
      </c>
      <c r="C517" s="1011" t="s">
        <v>1481</v>
      </c>
      <c r="D517" s="1011"/>
      <c r="E517" s="247" t="s">
        <v>317</v>
      </c>
      <c r="F517" s="246" t="s">
        <v>475</v>
      </c>
      <c r="G517" s="1083">
        <f>VLOOKUP(B517,'[1]BD assignatures'!A:B,2,FALSE)</f>
        <v>13</v>
      </c>
      <c r="H517" s="1083"/>
      <c r="I517" s="1082" t="s">
        <v>476</v>
      </c>
      <c r="J517" s="1082"/>
      <c r="K517" s="286">
        <f>HLOOKUP(B517,'[1]BD assignatures'!$X$25:$BJ$33,3,FALSE)</f>
        <v>0</v>
      </c>
      <c r="L517" s="248">
        <f t="shared" si="4"/>
        <v>0</v>
      </c>
      <c r="M517" s="286">
        <f>HLOOKUP(B517,'[1]BD assignatures'!$X$25:$BJ$33,6,FALSE)</f>
        <v>0</v>
      </c>
      <c r="N517" s="248">
        <f t="shared" si="5"/>
        <v>0</v>
      </c>
      <c r="O517" s="286">
        <f>HLOOKUP(B517,'[1]BD assignatures'!$X$25:$BJI$33,7,FALSE)</f>
        <v>13</v>
      </c>
      <c r="P517" s="248">
        <f t="shared" si="6"/>
        <v>1</v>
      </c>
      <c r="Q517" s="286">
        <f>HLOOKUP(B517,'[1]BD assignatures'!$X$25:$BJ$33,9,FALSE)</f>
        <v>0</v>
      </c>
      <c r="R517" s="248">
        <f t="shared" si="7"/>
        <v>0</v>
      </c>
      <c r="S517" s="286">
        <f>HLOOKUP(B517,'[1]BD assignatures'!$X$25:$BJ$33,4,FALSE)</f>
        <v>0</v>
      </c>
      <c r="T517" s="248">
        <f t="shared" si="8"/>
        <v>0</v>
      </c>
      <c r="U517" s="286">
        <f>HLOOKUP(B517,'[1]BD assignatures'!$X$25:$BJ$33,5,FALSE)</f>
        <v>0</v>
      </c>
      <c r="V517" s="248">
        <f t="shared" si="9"/>
        <v>0</v>
      </c>
      <c r="X517" s="716">
        <f t="shared" ref="X517:X518" si="11">(K517+M517+O517+Q517+S517+U517)-G517</f>
        <v>0</v>
      </c>
    </row>
    <row r="518" spans="2:24" s="33" customFormat="1" ht="29.25" customHeight="1" thickBot="1" x14ac:dyDescent="0.2">
      <c r="B518" s="246">
        <v>37214206</v>
      </c>
      <c r="C518" s="1011" t="s">
        <v>501</v>
      </c>
      <c r="D518" s="1011"/>
      <c r="E518" s="247" t="s">
        <v>317</v>
      </c>
      <c r="F518" s="246" t="s">
        <v>475</v>
      </c>
      <c r="G518" s="1083">
        <f>VLOOKUP(B518,'[1]BD assignatures'!A:B,2,FALSE)</f>
        <v>8</v>
      </c>
      <c r="H518" s="1083"/>
      <c r="I518" s="1082" t="s">
        <v>476</v>
      </c>
      <c r="J518" s="1082"/>
      <c r="K518" s="286">
        <f>HLOOKUP(B518,'[1]BD assignatures'!$X$25:$BJ$33,3,FALSE)</f>
        <v>0</v>
      </c>
      <c r="L518" s="248">
        <f t="shared" si="4"/>
        <v>0</v>
      </c>
      <c r="M518" s="286">
        <f>HLOOKUP(B518,'[1]BD assignatures'!$X$25:$BJ$33,6,FALSE)</f>
        <v>0</v>
      </c>
      <c r="N518" s="248">
        <f t="shared" si="5"/>
        <v>0</v>
      </c>
      <c r="O518" s="286">
        <f>HLOOKUP(B518,'[1]BD assignatures'!$X$25:$BJI$33,7,FALSE)</f>
        <v>2</v>
      </c>
      <c r="P518" s="248">
        <f t="shared" si="6"/>
        <v>0.25</v>
      </c>
      <c r="Q518" s="286">
        <f>HLOOKUP(B518,'[1]BD assignatures'!$X$25:$BJ$33,9,FALSE)</f>
        <v>0</v>
      </c>
      <c r="R518" s="248">
        <f t="shared" si="7"/>
        <v>0</v>
      </c>
      <c r="S518" s="286">
        <f>HLOOKUP(B518,'[1]BD assignatures'!$X$25:$BJ$33,4,FALSE)</f>
        <v>5</v>
      </c>
      <c r="T518" s="248">
        <f t="shared" si="8"/>
        <v>0.625</v>
      </c>
      <c r="U518" s="286">
        <f>HLOOKUP(B518,'[1]BD assignatures'!$X$25:$BJ$33,5,FALSE)</f>
        <v>1</v>
      </c>
      <c r="V518" s="248">
        <f t="shared" si="9"/>
        <v>0.125</v>
      </c>
      <c r="X518" s="716">
        <f t="shared" si="11"/>
        <v>0</v>
      </c>
    </row>
    <row r="519" spans="2:24" s="33" customFormat="1" ht="21.75" customHeight="1" thickBot="1" x14ac:dyDescent="0.2">
      <c r="B519" s="246">
        <v>37214401</v>
      </c>
      <c r="C519" s="999" t="s">
        <v>320</v>
      </c>
      <c r="D519" s="999"/>
      <c r="E519" s="247" t="s">
        <v>284</v>
      </c>
      <c r="F519" s="246" t="s">
        <v>475</v>
      </c>
      <c r="G519" s="1083">
        <f>VLOOKUP(B519,'[1]BD assignatures'!A:B,2,FALSE)</f>
        <v>13</v>
      </c>
      <c r="H519" s="1083"/>
      <c r="I519" s="1082" t="s">
        <v>502</v>
      </c>
      <c r="J519" s="1082"/>
      <c r="K519" s="286">
        <f>HLOOKUP(B519,'[1]BD assignatures'!$X$25:$BJ$33,3,FALSE)</f>
        <v>2</v>
      </c>
      <c r="L519" s="248">
        <f>K519/$G519</f>
        <v>0.15384615384615385</v>
      </c>
      <c r="M519" s="286">
        <f>HLOOKUP(B519,'[1]BD assignatures'!$X$25:$BJ$33,6,FALSE)</f>
        <v>0</v>
      </c>
      <c r="N519" s="248">
        <f>M519/$G519</f>
        <v>0</v>
      </c>
      <c r="O519" s="286">
        <f>HLOOKUP(B519,'[1]BD assignatures'!$X$25:$BJI$33,7,FALSE)</f>
        <v>5</v>
      </c>
      <c r="P519" s="248">
        <f>O519/$G519</f>
        <v>0.38461538461538464</v>
      </c>
      <c r="Q519" s="286">
        <f>HLOOKUP(B519,'[1]BD assignatures'!$X$25:$BJ$33,9,FALSE)</f>
        <v>0</v>
      </c>
      <c r="R519" s="248">
        <f>Q519/$G519</f>
        <v>0</v>
      </c>
      <c r="S519" s="286">
        <f>HLOOKUP(B519,'[1]BD assignatures'!$X$25:$BJ$33,4,FALSE)</f>
        <v>5</v>
      </c>
      <c r="T519" s="248">
        <f>S519/$G519</f>
        <v>0.38461538461538464</v>
      </c>
      <c r="U519" s="286">
        <f>HLOOKUP(B519,'[1]BD assignatures'!$X$25:$BJ$33,5,FALSE)</f>
        <v>1</v>
      </c>
      <c r="V519" s="248">
        <f>U519/$G519</f>
        <v>7.6923076923076927E-2</v>
      </c>
      <c r="X519" s="716">
        <f t="shared" si="10"/>
        <v>0</v>
      </c>
    </row>
    <row r="520" spans="2:24" s="33" customFormat="1" ht="21.75" customHeight="1" thickBot="1" x14ac:dyDescent="0.2">
      <c r="B520" s="249">
        <v>37214301</v>
      </c>
      <c r="C520" s="1135" t="s">
        <v>503</v>
      </c>
      <c r="D520" s="1135"/>
      <c r="E520" s="250" t="s">
        <v>284</v>
      </c>
      <c r="F520" s="249" t="s">
        <v>475</v>
      </c>
      <c r="G520" s="1112">
        <f>VLOOKUP(B520,'[1]BD assignatures'!A:B,2,FALSE)</f>
        <v>24</v>
      </c>
      <c r="H520" s="1112"/>
      <c r="I520" s="1137" t="s">
        <v>502</v>
      </c>
      <c r="J520" s="1137"/>
      <c r="K520" s="286">
        <f>HLOOKUP(B520,'[1]BD assignatures'!$X$25:$BJ$33,3,FALSE)</f>
        <v>9</v>
      </c>
      <c r="L520" s="251">
        <f>K520/$G520</f>
        <v>0.375</v>
      </c>
      <c r="M520" s="286">
        <f>HLOOKUP(B520,'[1]BD assignatures'!$X$25:$BJ$33,6,FALSE)</f>
        <v>6</v>
      </c>
      <c r="N520" s="251">
        <f>M520/$G520</f>
        <v>0.25</v>
      </c>
      <c r="O520" s="286">
        <f>HLOOKUP(B520,'[1]BD assignatures'!$X$25:$BJI$33,7,FALSE)</f>
        <v>6</v>
      </c>
      <c r="P520" s="251">
        <f>O520/$G520</f>
        <v>0.25</v>
      </c>
      <c r="Q520" s="286">
        <f>HLOOKUP(B520,'[1]BD assignatures'!$X$25:$BJ$33,9,FALSE)</f>
        <v>0</v>
      </c>
      <c r="R520" s="251">
        <f>Q520/$G520</f>
        <v>0</v>
      </c>
      <c r="S520" s="286">
        <f>HLOOKUP(B520,'[1]BD assignatures'!$X$25:$BJ$33,4,FALSE)</f>
        <v>2</v>
      </c>
      <c r="T520" s="251">
        <f>S520/$G520</f>
        <v>8.3333333333333329E-2</v>
      </c>
      <c r="U520" s="286">
        <f>HLOOKUP(B520,'[1]BD assignatures'!$X$25:$BJ$33,5,FALSE)</f>
        <v>1</v>
      </c>
      <c r="V520" s="251">
        <f>U520/$G520</f>
        <v>4.1666666666666664E-2</v>
      </c>
      <c r="X520" s="716">
        <f t="shared" si="10"/>
        <v>0</v>
      </c>
    </row>
    <row r="521" spans="2:24" s="33" customFormat="1" ht="12.75" customHeight="1" thickBot="1" x14ac:dyDescent="0.2">
      <c r="C521" s="1136" t="s">
        <v>504</v>
      </c>
      <c r="D521" s="1136"/>
      <c r="E521" s="244"/>
      <c r="F521" s="244"/>
      <c r="G521" s="1136">
        <f>SUM(G484:G520)</f>
        <v>1489</v>
      </c>
      <c r="H521" s="1136"/>
      <c r="K521" s="633">
        <f>SUM(K484:K520)</f>
        <v>594</v>
      </c>
      <c r="L521" s="244"/>
      <c r="M521" s="633">
        <f>SUM(M484:M520)</f>
        <v>66</v>
      </c>
      <c r="N521" s="244"/>
      <c r="O521" s="633">
        <f>SUM(O484:O520)</f>
        <v>559</v>
      </c>
      <c r="P521" s="244"/>
      <c r="Q521" s="633">
        <f>SUM(Q484:Q520)</f>
        <v>222</v>
      </c>
      <c r="R521" s="244"/>
      <c r="S521" s="633">
        <f>SUM(S484:S520)</f>
        <v>41</v>
      </c>
      <c r="T521" s="244"/>
      <c r="U521" s="633">
        <f>SUM(U484:U520)</f>
        <v>7</v>
      </c>
      <c r="V521" s="244"/>
    </row>
    <row r="522" spans="2:24" s="33" customFormat="1" ht="14.25" customHeight="1" x14ac:dyDescent="0.15">
      <c r="C522" s="1120" t="s">
        <v>505</v>
      </c>
      <c r="D522" s="1120"/>
      <c r="E522" s="244"/>
      <c r="F522" s="244"/>
      <c r="G522" s="1120">
        <f>SUM(G484:G492)</f>
        <v>609</v>
      </c>
      <c r="H522" s="1120"/>
      <c r="K522" s="632">
        <f>SUM(K484:K492)</f>
        <v>240</v>
      </c>
      <c r="L522" s="244"/>
      <c r="M522" s="632">
        <f>SUM(M484:M492)</f>
        <v>34</v>
      </c>
      <c r="N522" s="244"/>
      <c r="O522" s="632">
        <f>SUM(O484:O492)</f>
        <v>215</v>
      </c>
      <c r="P522" s="244"/>
      <c r="Q522" s="632">
        <f>SUM(Q484:Q492)</f>
        <v>109</v>
      </c>
      <c r="R522" s="244"/>
      <c r="S522" s="632">
        <f>SUM(S484:S492)</f>
        <v>10</v>
      </c>
      <c r="T522" s="244"/>
      <c r="U522" s="632">
        <f>SUM(U484:U492)</f>
        <v>1</v>
      </c>
      <c r="V522" s="244"/>
    </row>
    <row r="523" spans="2:24" ht="15" customHeight="1" x14ac:dyDescent="0.2">
      <c r="B523" s="165"/>
    </row>
    <row r="524" spans="2:24" x14ac:dyDescent="0.2">
      <c r="B524" s="33"/>
      <c r="D524" s="49"/>
      <c r="E524" s="49"/>
    </row>
    <row r="525" spans="2:24" ht="15" customHeight="1" x14ac:dyDescent="0.2">
      <c r="B525" s="1089" t="s">
        <v>8</v>
      </c>
      <c r="C525" s="985" t="s">
        <v>8</v>
      </c>
      <c r="D525" s="985"/>
      <c r="E525" s="985"/>
      <c r="F525" s="985"/>
      <c r="G525" s="985"/>
      <c r="H525" s="985"/>
      <c r="I525" s="985"/>
      <c r="J525" s="985"/>
      <c r="K525" s="985"/>
      <c r="L525" s="985"/>
      <c r="M525" s="985"/>
      <c r="N525" s="985"/>
      <c r="O525" s="985"/>
      <c r="P525" s="985"/>
      <c r="Q525" s="985"/>
      <c r="R525" s="985"/>
      <c r="S525" s="985"/>
      <c r="T525" s="985"/>
      <c r="U525" s="985"/>
      <c r="V525" s="985"/>
    </row>
    <row r="526" spans="2:24" ht="15" customHeight="1" x14ac:dyDescent="0.2">
      <c r="B526" s="740" t="s">
        <v>326</v>
      </c>
      <c r="C526" s="740" t="s">
        <v>250</v>
      </c>
      <c r="D526" s="740"/>
      <c r="E526" s="740" t="s">
        <v>463</v>
      </c>
      <c r="F526" s="740" t="s">
        <v>464</v>
      </c>
      <c r="G526" s="740" t="s">
        <v>465</v>
      </c>
      <c r="H526" s="740"/>
      <c r="I526" s="740" t="s">
        <v>466</v>
      </c>
      <c r="J526" s="740"/>
      <c r="K526" s="741" t="s">
        <v>467</v>
      </c>
      <c r="L526" s="741"/>
      <c r="M526" s="741"/>
      <c r="N526" s="741"/>
      <c r="O526" s="741"/>
      <c r="P526" s="741"/>
      <c r="Q526" s="741"/>
      <c r="R526" s="741"/>
      <c r="S526" s="741"/>
      <c r="T526" s="741"/>
      <c r="U526" s="741"/>
      <c r="V526" s="741"/>
    </row>
    <row r="527" spans="2:24" ht="15" customHeight="1" x14ac:dyDescent="0.2">
      <c r="B527" s="741"/>
      <c r="C527" s="741"/>
      <c r="D527" s="741"/>
      <c r="E527" s="741"/>
      <c r="F527" s="741"/>
      <c r="G527" s="741"/>
      <c r="H527" s="741"/>
      <c r="I527" s="741"/>
      <c r="J527" s="741"/>
      <c r="K527" s="747" t="s">
        <v>468</v>
      </c>
      <c r="L527" s="747"/>
      <c r="M527" s="747" t="s">
        <v>469</v>
      </c>
      <c r="N527" s="747"/>
      <c r="O527" s="747" t="s">
        <v>470</v>
      </c>
      <c r="P527" s="747"/>
      <c r="Q527" s="747" t="s">
        <v>471</v>
      </c>
      <c r="R527" s="747"/>
      <c r="S527" s="747" t="s">
        <v>472</v>
      </c>
      <c r="T527" s="747"/>
      <c r="U527" s="747" t="s">
        <v>473</v>
      </c>
      <c r="V527" s="747"/>
      <c r="X527" s="651"/>
    </row>
    <row r="528" spans="2:24" ht="25" thickBot="1" x14ac:dyDescent="0.25">
      <c r="B528" s="252">
        <v>37204010</v>
      </c>
      <c r="C528" s="1011" t="s">
        <v>552</v>
      </c>
      <c r="D528" s="1011"/>
      <c r="E528" s="253" t="s">
        <v>261</v>
      </c>
      <c r="F528" s="252" t="s">
        <v>181</v>
      </c>
      <c r="G528" s="1083">
        <f>VLOOKUP(B528,'[1]BD assignatures'!C:D,2,FALSE)</f>
        <v>104</v>
      </c>
      <c r="H528" s="1083"/>
      <c r="I528" s="1083" t="s">
        <v>476</v>
      </c>
      <c r="J528" s="1083"/>
      <c r="K528" s="286">
        <f>HLOOKUP(B528,'[1]BD assignatures'!$X$34:$DS$42,3,FALSE)</f>
        <v>41</v>
      </c>
      <c r="L528" s="254">
        <f t="shared" ref="L528:L585" si="12">K528/$G528</f>
        <v>0.39423076923076922</v>
      </c>
      <c r="M528" s="286">
        <f>HLOOKUP(B528,'[1]BD assignatures'!$X$34:$DS$42,6,FALSE)</f>
        <v>4</v>
      </c>
      <c r="N528" s="254">
        <f t="shared" ref="N528:N585" si="13">M528/$G528</f>
        <v>3.8461538461538464E-2</v>
      </c>
      <c r="O528" s="286">
        <f>HLOOKUP(B528,'[1]BD assignatures'!$X$34:$DS$42,7,FALSE)</f>
        <v>18</v>
      </c>
      <c r="P528" s="254">
        <f t="shared" ref="P528:P585" si="14">O528/$G528</f>
        <v>0.17307692307692307</v>
      </c>
      <c r="Q528" s="286">
        <f>HLOOKUP(B528,'[1]BD assignatures'!$X$34:$DS$42,9,FALSE)</f>
        <v>40</v>
      </c>
      <c r="R528" s="254">
        <f t="shared" ref="R528:R585" si="15">Q528/$G528</f>
        <v>0.38461538461538464</v>
      </c>
      <c r="S528" s="286">
        <f>HLOOKUP(B528,'[1]BD assignatures'!$X$34:$DS$42,4,FALSE)</f>
        <v>0</v>
      </c>
      <c r="T528" s="254">
        <f t="shared" ref="T528:T585" si="16">S528/$G528</f>
        <v>0</v>
      </c>
      <c r="U528" s="286">
        <f>HLOOKUP(B528,'[1]BD assignatures'!$X$34:$DS$42,5,FALSE)</f>
        <v>1</v>
      </c>
      <c r="V528" s="254">
        <f t="shared" ref="V528:V585" si="17">U528/$G528</f>
        <v>9.6153846153846159E-3</v>
      </c>
      <c r="X528" s="49"/>
    </row>
    <row r="529" spans="2:24" ht="25" thickBot="1" x14ac:dyDescent="0.25">
      <c r="B529" s="252">
        <v>37204004</v>
      </c>
      <c r="C529" s="1011" t="s">
        <v>552</v>
      </c>
      <c r="D529" s="1011"/>
      <c r="E529" s="253" t="s">
        <v>261</v>
      </c>
      <c r="F529" s="252" t="s">
        <v>181</v>
      </c>
      <c r="G529" s="1083">
        <f>VLOOKUP(B529,'[1]BD assignatures'!C:D,2,FALSE)</f>
        <v>5</v>
      </c>
      <c r="H529" s="1083"/>
      <c r="I529" s="1083" t="s">
        <v>476</v>
      </c>
      <c r="J529" s="1083"/>
      <c r="K529" s="286">
        <f>HLOOKUP(B529,'[1]BD assignatures'!$X$34:$DS$42,3,FALSE)</f>
        <v>2</v>
      </c>
      <c r="L529" s="254">
        <f t="shared" si="12"/>
        <v>0.4</v>
      </c>
      <c r="M529" s="286">
        <f>HLOOKUP(B529,'[1]BD assignatures'!$X$34:$DS$42,6,FALSE)</f>
        <v>2</v>
      </c>
      <c r="N529" s="254">
        <f t="shared" si="13"/>
        <v>0.4</v>
      </c>
      <c r="O529" s="286">
        <f>HLOOKUP(B529,'[1]BD assignatures'!$X$34:$DS$42,7,FALSE)</f>
        <v>0</v>
      </c>
      <c r="P529" s="254">
        <f t="shared" si="14"/>
        <v>0</v>
      </c>
      <c r="Q529" s="286">
        <f>HLOOKUP(B529,'[1]BD assignatures'!$X$34:$DS$42,9,FALSE)</f>
        <v>1</v>
      </c>
      <c r="R529" s="254">
        <f t="shared" si="15"/>
        <v>0.2</v>
      </c>
      <c r="S529" s="286">
        <f>HLOOKUP(B529,'[1]BD assignatures'!$X$34:$DS$42,4,FALSE)</f>
        <v>0</v>
      </c>
      <c r="T529" s="254">
        <f t="shared" si="16"/>
        <v>0</v>
      </c>
      <c r="U529" s="286">
        <f>HLOOKUP(B529,'[1]BD assignatures'!$X$34:$DS$42,5,FALSE)</f>
        <v>0</v>
      </c>
      <c r="V529" s="254">
        <f t="shared" si="17"/>
        <v>0</v>
      </c>
      <c r="X529" s="651">
        <f t="shared" ref="X529:X585" si="18">G529-K529-M529-O529-Q529-S529-U529</f>
        <v>0</v>
      </c>
    </row>
    <row r="530" spans="2:24" ht="25" thickBot="1" x14ac:dyDescent="0.25">
      <c r="B530" s="246">
        <v>37204012</v>
      </c>
      <c r="C530" s="1011" t="s">
        <v>923</v>
      </c>
      <c r="D530" s="1011"/>
      <c r="E530" s="247" t="s">
        <v>261</v>
      </c>
      <c r="F530" s="246" t="s">
        <v>475</v>
      </c>
      <c r="G530" s="1083">
        <f>VLOOKUP(B530,'[1]BD assignatures'!C:D,2,FALSE)</f>
        <v>84</v>
      </c>
      <c r="H530" s="1083"/>
      <c r="I530" s="1082" t="s">
        <v>476</v>
      </c>
      <c r="J530" s="1082"/>
      <c r="K530" s="286">
        <f>HLOOKUP(B530,'[1]BD assignatures'!$X$34:$DS$42,3,FALSE)</f>
        <v>48</v>
      </c>
      <c r="L530" s="254">
        <f t="shared" si="12"/>
        <v>0.5714285714285714</v>
      </c>
      <c r="M530" s="286">
        <f>HLOOKUP(B530,'[1]BD assignatures'!$X$34:$DS$42,6,FALSE)</f>
        <v>1</v>
      </c>
      <c r="N530" s="254">
        <f t="shared" si="13"/>
        <v>1.1904761904761904E-2</v>
      </c>
      <c r="O530" s="286">
        <f>HLOOKUP(B530,'[1]BD assignatures'!$X$34:$DS$42,7,FALSE)</f>
        <v>15</v>
      </c>
      <c r="P530" s="254">
        <f t="shared" si="14"/>
        <v>0.17857142857142858</v>
      </c>
      <c r="Q530" s="286">
        <f>HLOOKUP(B530,'[1]BD assignatures'!$X$34:$DS$42,9,FALSE)</f>
        <v>19</v>
      </c>
      <c r="R530" s="254">
        <f t="shared" si="15"/>
        <v>0.22619047619047619</v>
      </c>
      <c r="S530" s="286">
        <f>HLOOKUP(B530,'[1]BD assignatures'!$X$34:$DS$42,4,FALSE)</f>
        <v>0</v>
      </c>
      <c r="T530" s="254">
        <f t="shared" si="16"/>
        <v>0</v>
      </c>
      <c r="U530" s="286">
        <f>HLOOKUP(B530,'[1]BD assignatures'!$X$34:$DS$42,5,FALSE)</f>
        <v>1</v>
      </c>
      <c r="V530" s="254">
        <f t="shared" si="17"/>
        <v>1.1904761904761904E-2</v>
      </c>
      <c r="X530" s="651">
        <f t="shared" si="18"/>
        <v>0</v>
      </c>
    </row>
    <row r="531" spans="2:24" ht="25" thickBot="1" x14ac:dyDescent="0.25">
      <c r="B531" s="246">
        <v>37204011</v>
      </c>
      <c r="C531" s="1011" t="s">
        <v>553</v>
      </c>
      <c r="D531" s="1011"/>
      <c r="E531" s="247" t="s">
        <v>261</v>
      </c>
      <c r="F531" s="246" t="s">
        <v>475</v>
      </c>
      <c r="G531" s="1083">
        <f>VLOOKUP(B531,'[1]BD assignatures'!C:D,2,FALSE)</f>
        <v>77</v>
      </c>
      <c r="H531" s="1083"/>
      <c r="I531" s="1082" t="s">
        <v>476</v>
      </c>
      <c r="J531" s="1082"/>
      <c r="K531" s="286">
        <f>HLOOKUP(B531,'[1]BD assignatures'!$X$34:$DS$42,3,FALSE)</f>
        <v>37</v>
      </c>
      <c r="L531" s="254">
        <f t="shared" si="12"/>
        <v>0.48051948051948051</v>
      </c>
      <c r="M531" s="286">
        <f>HLOOKUP(B531,'[1]BD assignatures'!$X$34:$DS$42,6,FALSE)</f>
        <v>3</v>
      </c>
      <c r="N531" s="254">
        <f t="shared" si="13"/>
        <v>3.896103896103896E-2</v>
      </c>
      <c r="O531" s="286">
        <f>HLOOKUP(B531,'[1]BD assignatures'!$X$34:$DS$42,7,FALSE)</f>
        <v>5</v>
      </c>
      <c r="P531" s="254">
        <f t="shared" si="14"/>
        <v>6.4935064935064929E-2</v>
      </c>
      <c r="Q531" s="286">
        <f>HLOOKUP(B531,'[1]BD assignatures'!$X$34:$DS$42,9,FALSE)</f>
        <v>31</v>
      </c>
      <c r="R531" s="254">
        <f t="shared" si="15"/>
        <v>0.40259740259740262</v>
      </c>
      <c r="S531" s="286">
        <f>HLOOKUP(B531,'[1]BD assignatures'!$X$34:$DS$42,4,FALSE)</f>
        <v>0</v>
      </c>
      <c r="T531" s="254">
        <f t="shared" si="16"/>
        <v>0</v>
      </c>
      <c r="U531" s="286">
        <f>HLOOKUP(B531,'[1]BD assignatures'!$X$34:$DS$42,5,FALSE)</f>
        <v>1</v>
      </c>
      <c r="V531" s="254">
        <f t="shared" si="17"/>
        <v>1.2987012987012988E-2</v>
      </c>
      <c r="X531" s="651">
        <f t="shared" si="18"/>
        <v>0</v>
      </c>
    </row>
    <row r="532" spans="2:24" ht="25" thickBot="1" x14ac:dyDescent="0.25">
      <c r="B532" s="252">
        <v>37204005</v>
      </c>
      <c r="C532" s="1011" t="s">
        <v>553</v>
      </c>
      <c r="D532" s="1011"/>
      <c r="E532" s="253" t="s">
        <v>261</v>
      </c>
      <c r="F532" s="246" t="s">
        <v>475</v>
      </c>
      <c r="G532" s="1083">
        <f>VLOOKUP(B532,'[1]BD assignatures'!C:D,2,FALSE)</f>
        <v>3</v>
      </c>
      <c r="H532" s="1083"/>
      <c r="I532" s="1083" t="s">
        <v>476</v>
      </c>
      <c r="J532" s="1083"/>
      <c r="K532" s="286">
        <f>HLOOKUP(B532,'[1]BD assignatures'!$X$34:$DS$42,3,FALSE)</f>
        <v>2</v>
      </c>
      <c r="L532" s="254">
        <f t="shared" si="12"/>
        <v>0.66666666666666663</v>
      </c>
      <c r="M532" s="286">
        <f>HLOOKUP(B532,'[1]BD assignatures'!$X$34:$DS$42,6,FALSE)</f>
        <v>1</v>
      </c>
      <c r="N532" s="254">
        <f t="shared" si="13"/>
        <v>0.33333333333333331</v>
      </c>
      <c r="O532" s="286">
        <f>HLOOKUP(B532,'[1]BD assignatures'!$X$34:$DS$42,7,FALSE)</f>
        <v>0</v>
      </c>
      <c r="P532" s="254">
        <f t="shared" si="14"/>
        <v>0</v>
      </c>
      <c r="Q532" s="286">
        <f>HLOOKUP(B532,'[1]BD assignatures'!$X$34:$DS$42,9,FALSE)</f>
        <v>0</v>
      </c>
      <c r="R532" s="254">
        <f t="shared" si="15"/>
        <v>0</v>
      </c>
      <c r="S532" s="286">
        <f>HLOOKUP(B532,'[1]BD assignatures'!$X$34:$DS$42,4,FALSE)</f>
        <v>0</v>
      </c>
      <c r="T532" s="254">
        <f t="shared" si="16"/>
        <v>0</v>
      </c>
      <c r="U532" s="286">
        <f>HLOOKUP(B532,'[1]BD assignatures'!$X$34:$DS$42,5,FALSE)</f>
        <v>0</v>
      </c>
      <c r="V532" s="254">
        <f t="shared" si="17"/>
        <v>0</v>
      </c>
      <c r="X532" s="651">
        <f t="shared" si="18"/>
        <v>0</v>
      </c>
    </row>
    <row r="533" spans="2:24" ht="25" thickBot="1" x14ac:dyDescent="0.25">
      <c r="B533" s="246">
        <v>37204013</v>
      </c>
      <c r="C533" s="1011" t="s">
        <v>924</v>
      </c>
      <c r="D533" s="1011"/>
      <c r="E533" s="247" t="s">
        <v>261</v>
      </c>
      <c r="F533" s="246" t="s">
        <v>475</v>
      </c>
      <c r="G533" s="1083">
        <f>VLOOKUP(B533,'[1]BD assignatures'!C:D,2,FALSE)</f>
        <v>76</v>
      </c>
      <c r="H533" s="1083"/>
      <c r="I533" s="1082" t="s">
        <v>476</v>
      </c>
      <c r="J533" s="1082"/>
      <c r="K533" s="286">
        <f>HLOOKUP(B533,'[1]BD assignatures'!$X$34:$DS$42,3,FALSE)</f>
        <v>38</v>
      </c>
      <c r="L533" s="254">
        <f t="shared" si="12"/>
        <v>0.5</v>
      </c>
      <c r="M533" s="286">
        <f>HLOOKUP(B533,'[1]BD assignatures'!$X$34:$DS$42,6,FALSE)</f>
        <v>2</v>
      </c>
      <c r="N533" s="254">
        <f t="shared" si="13"/>
        <v>2.6315789473684209E-2</v>
      </c>
      <c r="O533" s="286">
        <f>HLOOKUP(B533,'[1]BD assignatures'!$X$34:$DS$42,7,FALSE)</f>
        <v>27</v>
      </c>
      <c r="P533" s="254">
        <f t="shared" si="14"/>
        <v>0.35526315789473684</v>
      </c>
      <c r="Q533" s="286">
        <f>HLOOKUP(B533,'[1]BD assignatures'!$X$34:$DS$42,9,FALSE)</f>
        <v>4</v>
      </c>
      <c r="R533" s="254">
        <f t="shared" si="15"/>
        <v>5.2631578947368418E-2</v>
      </c>
      <c r="S533" s="286">
        <f>HLOOKUP(B533,'[1]BD assignatures'!$X$34:$DS$42,4,FALSE)</f>
        <v>5</v>
      </c>
      <c r="T533" s="254">
        <f t="shared" si="16"/>
        <v>6.5789473684210523E-2</v>
      </c>
      <c r="U533" s="286">
        <f>HLOOKUP(B533,'[1]BD assignatures'!$X$34:$DS$42,5,FALSE)</f>
        <v>0</v>
      </c>
      <c r="V533" s="254">
        <f t="shared" si="17"/>
        <v>0</v>
      </c>
      <c r="X533" s="651">
        <f t="shared" si="18"/>
        <v>0</v>
      </c>
    </row>
    <row r="534" spans="2:24" ht="24.75" customHeight="1" thickBot="1" x14ac:dyDescent="0.25">
      <c r="B534" s="246">
        <v>37204002</v>
      </c>
      <c r="C534" s="1011" t="s">
        <v>554</v>
      </c>
      <c r="D534" s="1011"/>
      <c r="E534" s="247" t="s">
        <v>261</v>
      </c>
      <c r="F534" s="246" t="s">
        <v>181</v>
      </c>
      <c r="G534" s="1083">
        <f>VLOOKUP(B534,'[1]BD assignatures'!C:D,2,FALSE)</f>
        <v>62</v>
      </c>
      <c r="H534" s="1083"/>
      <c r="I534" s="1082" t="s">
        <v>476</v>
      </c>
      <c r="J534" s="1082"/>
      <c r="K534" s="286">
        <f>HLOOKUP(B534,'[1]BD assignatures'!$X$34:$DS$42,3,FALSE)</f>
        <v>25</v>
      </c>
      <c r="L534" s="254">
        <f t="shared" si="12"/>
        <v>0.40322580645161288</v>
      </c>
      <c r="M534" s="286">
        <f>HLOOKUP(B534,'[1]BD assignatures'!$X$34:$DS$42,6,FALSE)</f>
        <v>3</v>
      </c>
      <c r="N534" s="254">
        <f t="shared" si="13"/>
        <v>4.8387096774193547E-2</v>
      </c>
      <c r="O534" s="286">
        <f>HLOOKUP(B534,'[1]BD assignatures'!$X$34:$DS$42,7,FALSE)</f>
        <v>7</v>
      </c>
      <c r="P534" s="254">
        <f t="shared" si="14"/>
        <v>0.11290322580645161</v>
      </c>
      <c r="Q534" s="286">
        <f>HLOOKUP(B534,'[1]BD assignatures'!$X$34:$DS$42,9,FALSE)</f>
        <v>26</v>
      </c>
      <c r="R534" s="254">
        <f t="shared" si="15"/>
        <v>0.41935483870967744</v>
      </c>
      <c r="S534" s="286">
        <f>HLOOKUP(B534,'[1]BD assignatures'!$X$34:$DS$42,4,FALSE)</f>
        <v>0</v>
      </c>
      <c r="T534" s="254">
        <f t="shared" si="16"/>
        <v>0</v>
      </c>
      <c r="U534" s="286">
        <f>HLOOKUP(B534,'[1]BD assignatures'!$X$34:$DS$42,5,FALSE)</f>
        <v>1</v>
      </c>
      <c r="V534" s="254">
        <f t="shared" si="17"/>
        <v>1.6129032258064516E-2</v>
      </c>
      <c r="X534" s="651">
        <f t="shared" si="18"/>
        <v>0</v>
      </c>
    </row>
    <row r="535" spans="2:24" ht="36.75" customHeight="1" thickBot="1" x14ac:dyDescent="0.25">
      <c r="B535" s="246">
        <v>37204006</v>
      </c>
      <c r="C535" s="1011" t="s">
        <v>555</v>
      </c>
      <c r="D535" s="1011"/>
      <c r="E535" s="247" t="s">
        <v>261</v>
      </c>
      <c r="F535" s="246" t="s">
        <v>475</v>
      </c>
      <c r="G535" s="1083">
        <f>VLOOKUP(B535,'[1]BD assignatures'!C:D,2,FALSE)</f>
        <v>70</v>
      </c>
      <c r="H535" s="1083"/>
      <c r="I535" s="1082" t="s">
        <v>476</v>
      </c>
      <c r="J535" s="1082"/>
      <c r="K535" s="286">
        <f>HLOOKUP(B535,'[1]BD assignatures'!$X$34:$DS$42,3,FALSE)</f>
        <v>34</v>
      </c>
      <c r="L535" s="254">
        <f t="shared" si="12"/>
        <v>0.48571428571428571</v>
      </c>
      <c r="M535" s="286">
        <f>HLOOKUP(B535,'[1]BD assignatures'!$X$34:$DS$42,6,FALSE)</f>
        <v>2</v>
      </c>
      <c r="N535" s="254">
        <f t="shared" si="13"/>
        <v>2.8571428571428571E-2</v>
      </c>
      <c r="O535" s="286">
        <f>HLOOKUP(B535,'[1]BD assignatures'!$X$34:$DS$42,7,FALSE)</f>
        <v>22</v>
      </c>
      <c r="P535" s="254">
        <f t="shared" si="14"/>
        <v>0.31428571428571428</v>
      </c>
      <c r="Q535" s="286">
        <f>HLOOKUP(B535,'[1]BD assignatures'!$X$34:$DS$42,9,FALSE)</f>
        <v>11</v>
      </c>
      <c r="R535" s="254">
        <f t="shared" si="15"/>
        <v>0.15714285714285714</v>
      </c>
      <c r="S535" s="286">
        <f>HLOOKUP(B535,'[1]BD assignatures'!$X$34:$DS$42,4,FALSE)</f>
        <v>1</v>
      </c>
      <c r="T535" s="254">
        <f t="shared" si="16"/>
        <v>1.4285714285714285E-2</v>
      </c>
      <c r="U535" s="286">
        <f>HLOOKUP(B535,'[1]BD assignatures'!$X$34:$DS$42,5,FALSE)</f>
        <v>0</v>
      </c>
      <c r="V535" s="254">
        <f t="shared" si="17"/>
        <v>0</v>
      </c>
      <c r="X535" s="651">
        <f t="shared" si="18"/>
        <v>0</v>
      </c>
    </row>
    <row r="536" spans="2:24" ht="34.5" customHeight="1" thickBot="1" x14ac:dyDescent="0.25">
      <c r="B536" s="246">
        <v>37204003</v>
      </c>
      <c r="C536" s="1011" t="s">
        <v>556</v>
      </c>
      <c r="D536" s="1011"/>
      <c r="E536" s="247" t="s">
        <v>261</v>
      </c>
      <c r="F536" s="246" t="s">
        <v>475</v>
      </c>
      <c r="G536" s="1083">
        <f>VLOOKUP(B536,'[1]BD assignatures'!C:D,2,FALSE)</f>
        <v>110</v>
      </c>
      <c r="H536" s="1083"/>
      <c r="I536" s="1082" t="s">
        <v>476</v>
      </c>
      <c r="J536" s="1082"/>
      <c r="K536" s="286">
        <f>HLOOKUP(B536,'[1]BD assignatures'!$X$34:$DS$42,3,FALSE)</f>
        <v>52</v>
      </c>
      <c r="L536" s="254">
        <f t="shared" si="12"/>
        <v>0.47272727272727272</v>
      </c>
      <c r="M536" s="286">
        <f>HLOOKUP(B536,'[1]BD assignatures'!$X$34:$DS$42,6,FALSE)</f>
        <v>0</v>
      </c>
      <c r="N536" s="254">
        <f t="shared" si="13"/>
        <v>0</v>
      </c>
      <c r="O536" s="286">
        <f>HLOOKUP(B536,'[1]BD assignatures'!$X$34:$DS$42,7,FALSE)</f>
        <v>2</v>
      </c>
      <c r="P536" s="254">
        <f t="shared" si="14"/>
        <v>1.8181818181818181E-2</v>
      </c>
      <c r="Q536" s="286">
        <f>HLOOKUP(B536,'[1]BD assignatures'!$X$34:$DS$42,9,FALSE)</f>
        <v>55</v>
      </c>
      <c r="R536" s="254">
        <f t="shared" si="15"/>
        <v>0.5</v>
      </c>
      <c r="S536" s="286">
        <f>HLOOKUP(B536,'[1]BD assignatures'!$X$34:$DS$42,4,FALSE)</f>
        <v>1</v>
      </c>
      <c r="T536" s="254">
        <f t="shared" si="16"/>
        <v>9.0909090909090905E-3</v>
      </c>
      <c r="U536" s="286">
        <f>HLOOKUP(B536,'[1]BD assignatures'!$X$34:$DS$42,5,FALSE)</f>
        <v>0</v>
      </c>
      <c r="V536" s="254">
        <f t="shared" si="17"/>
        <v>0</v>
      </c>
      <c r="X536" s="651">
        <f t="shared" si="18"/>
        <v>0</v>
      </c>
    </row>
    <row r="537" spans="2:24" ht="21" customHeight="1" thickBot="1" x14ac:dyDescent="0.25">
      <c r="B537" s="246">
        <v>37204001</v>
      </c>
      <c r="C537" s="1011" t="s">
        <v>557</v>
      </c>
      <c r="D537" s="1011"/>
      <c r="E537" s="247" t="s">
        <v>261</v>
      </c>
      <c r="F537" s="246" t="s">
        <v>181</v>
      </c>
      <c r="G537" s="1083">
        <f>VLOOKUP(B537,'[1]BD assignatures'!C:D,2,FALSE)</f>
        <v>109</v>
      </c>
      <c r="H537" s="1083"/>
      <c r="I537" s="1082" t="s">
        <v>476</v>
      </c>
      <c r="J537" s="1082"/>
      <c r="K537" s="286">
        <f>HLOOKUP(B537,'[1]BD assignatures'!$X$34:$DS$42,3,FALSE)</f>
        <v>45</v>
      </c>
      <c r="L537" s="254">
        <f t="shared" si="12"/>
        <v>0.41284403669724773</v>
      </c>
      <c r="M537" s="286">
        <f>HLOOKUP(B537,'[1]BD assignatures'!$X$34:$DS$42,6,FALSE)</f>
        <v>8</v>
      </c>
      <c r="N537" s="254">
        <f t="shared" si="13"/>
        <v>7.3394495412844041E-2</v>
      </c>
      <c r="O537" s="286">
        <f>HLOOKUP(B537,'[1]BD assignatures'!$X$34:$DS$42,7,FALSE)</f>
        <v>6</v>
      </c>
      <c r="P537" s="254">
        <f t="shared" si="14"/>
        <v>5.5045871559633031E-2</v>
      </c>
      <c r="Q537" s="286">
        <f>HLOOKUP(B537,'[1]BD assignatures'!$X$34:$DS$42,9,FALSE)</f>
        <v>50</v>
      </c>
      <c r="R537" s="254">
        <f t="shared" si="15"/>
        <v>0.45871559633027525</v>
      </c>
      <c r="S537" s="286">
        <f>HLOOKUP(B537,'[1]BD assignatures'!$X$34:$DS$42,4,FALSE)</f>
        <v>0</v>
      </c>
      <c r="T537" s="254">
        <f t="shared" si="16"/>
        <v>0</v>
      </c>
      <c r="U537" s="286">
        <f>HLOOKUP(B537,'[1]BD assignatures'!$X$34:$DS$42,5,FALSE)</f>
        <v>0</v>
      </c>
      <c r="V537" s="254">
        <f t="shared" si="17"/>
        <v>0</v>
      </c>
      <c r="X537" s="651">
        <f t="shared" si="18"/>
        <v>0</v>
      </c>
    </row>
    <row r="538" spans="2:24" ht="28.5" customHeight="1" thickBot="1" x14ac:dyDescent="0.25">
      <c r="B538" s="246">
        <v>37204112</v>
      </c>
      <c r="C538" s="1011" t="s">
        <v>558</v>
      </c>
      <c r="D538" s="1011"/>
      <c r="E538" s="247" t="s">
        <v>284</v>
      </c>
      <c r="F538" s="246" t="s">
        <v>181</v>
      </c>
      <c r="G538" s="1083">
        <f>VLOOKUP(B538,'[1]BD assignatures'!C:D,2,FALSE)</f>
        <v>62</v>
      </c>
      <c r="H538" s="1083"/>
      <c r="I538" s="1082" t="s">
        <v>476</v>
      </c>
      <c r="J538" s="1082"/>
      <c r="K538" s="286">
        <f>HLOOKUP(B538,'[1]BD assignatures'!$X$34:$DS$42,3,FALSE)</f>
        <v>39</v>
      </c>
      <c r="L538" s="254">
        <f t="shared" si="12"/>
        <v>0.62903225806451613</v>
      </c>
      <c r="M538" s="286">
        <f>HLOOKUP(B538,'[1]BD assignatures'!$X$34:$DS$42,6,FALSE)</f>
        <v>0</v>
      </c>
      <c r="N538" s="254">
        <f t="shared" si="13"/>
        <v>0</v>
      </c>
      <c r="O538" s="286">
        <f>HLOOKUP(B538,'[1]BD assignatures'!$X$34:$DS$42,7,FALSE)</f>
        <v>9</v>
      </c>
      <c r="P538" s="254">
        <f t="shared" si="14"/>
        <v>0.14516129032258066</v>
      </c>
      <c r="Q538" s="286">
        <f>HLOOKUP(B538,'[1]BD assignatures'!$X$34:$DS$42,9,FALSE)</f>
        <v>14</v>
      </c>
      <c r="R538" s="254">
        <f t="shared" si="15"/>
        <v>0.22580645161290322</v>
      </c>
      <c r="S538" s="286">
        <f>HLOOKUP(B538,'[1]BD assignatures'!$X$34:$DS$42,4,FALSE)</f>
        <v>0</v>
      </c>
      <c r="T538" s="254">
        <f t="shared" si="16"/>
        <v>0</v>
      </c>
      <c r="U538" s="286">
        <f>HLOOKUP(B538,'[1]BD assignatures'!$X$34:$DS$42,5,FALSE)</f>
        <v>0</v>
      </c>
      <c r="V538" s="254">
        <f t="shared" si="17"/>
        <v>0</v>
      </c>
      <c r="X538" s="651">
        <f t="shared" si="18"/>
        <v>0</v>
      </c>
    </row>
    <row r="539" spans="2:24" ht="38.25" customHeight="1" thickBot="1" x14ac:dyDescent="0.25">
      <c r="B539" s="246">
        <v>37204122</v>
      </c>
      <c r="C539" s="1011" t="s">
        <v>559</v>
      </c>
      <c r="D539" s="1011"/>
      <c r="E539" s="247" t="s">
        <v>284</v>
      </c>
      <c r="F539" s="246" t="s">
        <v>475</v>
      </c>
      <c r="G539" s="1083">
        <f>VLOOKUP(B539,'[1]BD assignatures'!C:D,2,FALSE)</f>
        <v>73</v>
      </c>
      <c r="H539" s="1083"/>
      <c r="I539" s="1082" t="s">
        <v>476</v>
      </c>
      <c r="J539" s="1082"/>
      <c r="K539" s="286">
        <f>HLOOKUP(B539,'[1]BD assignatures'!$X$34:$DS$42,3,FALSE)</f>
        <v>50</v>
      </c>
      <c r="L539" s="254">
        <f t="shared" si="12"/>
        <v>0.68493150684931503</v>
      </c>
      <c r="M539" s="286">
        <f>HLOOKUP(B539,'[1]BD assignatures'!$X$34:$DS$42,6,FALSE)</f>
        <v>0</v>
      </c>
      <c r="N539" s="254">
        <f t="shared" si="13"/>
        <v>0</v>
      </c>
      <c r="O539" s="286">
        <f>HLOOKUP(B539,'[1]BD assignatures'!$X$34:$DS$42,7,FALSE)</f>
        <v>23</v>
      </c>
      <c r="P539" s="254">
        <f t="shared" si="14"/>
        <v>0.31506849315068491</v>
      </c>
      <c r="Q539" s="286">
        <f>HLOOKUP(B539,'[1]BD assignatures'!$X$34:$DS$42,9,FALSE)</f>
        <v>0</v>
      </c>
      <c r="R539" s="254">
        <f t="shared" si="15"/>
        <v>0</v>
      </c>
      <c r="S539" s="286">
        <f>HLOOKUP(B539,'[1]BD assignatures'!$X$34:$DS$42,4,FALSE)</f>
        <v>0</v>
      </c>
      <c r="T539" s="254">
        <f t="shared" si="16"/>
        <v>0</v>
      </c>
      <c r="U539" s="286">
        <f>HLOOKUP(B539,'[1]BD assignatures'!$X$34:$DS$42,5,FALSE)</f>
        <v>0</v>
      </c>
      <c r="V539" s="254">
        <f t="shared" si="17"/>
        <v>0</v>
      </c>
      <c r="X539" s="651">
        <f t="shared" si="18"/>
        <v>0</v>
      </c>
    </row>
    <row r="540" spans="2:24" ht="38.25" customHeight="1" thickBot="1" x14ac:dyDescent="0.25">
      <c r="B540" s="246">
        <v>37204123</v>
      </c>
      <c r="C540" s="1011" t="s">
        <v>560</v>
      </c>
      <c r="D540" s="1011"/>
      <c r="E540" s="247" t="s">
        <v>284</v>
      </c>
      <c r="F540" s="246" t="s">
        <v>475</v>
      </c>
      <c r="G540" s="1083">
        <f>VLOOKUP(B540,'[1]BD assignatures'!C:D,2,FALSE)</f>
        <v>75</v>
      </c>
      <c r="H540" s="1083"/>
      <c r="I540" s="1082" t="s">
        <v>476</v>
      </c>
      <c r="J540" s="1082"/>
      <c r="K540" s="286">
        <f>HLOOKUP(B540,'[1]BD assignatures'!$X$34:$DS$42,3,FALSE)</f>
        <v>19</v>
      </c>
      <c r="L540" s="254">
        <f t="shared" si="12"/>
        <v>0.25333333333333335</v>
      </c>
      <c r="M540" s="286">
        <f>HLOOKUP(B540,'[1]BD assignatures'!$X$34:$DS$42,6,FALSE)</f>
        <v>2</v>
      </c>
      <c r="N540" s="254">
        <f t="shared" si="13"/>
        <v>2.6666666666666668E-2</v>
      </c>
      <c r="O540" s="286">
        <f>HLOOKUP(B540,'[1]BD assignatures'!$X$34:$DS$42,7,FALSE)</f>
        <v>45</v>
      </c>
      <c r="P540" s="254">
        <f t="shared" si="14"/>
        <v>0.6</v>
      </c>
      <c r="Q540" s="286">
        <f>HLOOKUP(B540,'[1]BD assignatures'!$X$34:$DS$42,9,FALSE)</f>
        <v>2</v>
      </c>
      <c r="R540" s="254">
        <f t="shared" si="15"/>
        <v>2.6666666666666668E-2</v>
      </c>
      <c r="S540" s="286">
        <f>HLOOKUP(B540,'[1]BD assignatures'!$X$34:$DS$42,4,FALSE)</f>
        <v>7</v>
      </c>
      <c r="T540" s="254">
        <f t="shared" si="16"/>
        <v>9.3333333333333338E-2</v>
      </c>
      <c r="U540" s="286">
        <f>HLOOKUP(B540,'[1]BD assignatures'!$X$34:$DS$42,5,FALSE)</f>
        <v>0</v>
      </c>
      <c r="V540" s="254">
        <f t="shared" si="17"/>
        <v>0</v>
      </c>
      <c r="X540" s="651">
        <f t="shared" si="18"/>
        <v>0</v>
      </c>
    </row>
    <row r="541" spans="2:24" ht="28.5" customHeight="1" thickBot="1" x14ac:dyDescent="0.25">
      <c r="B541" s="270">
        <v>37204132</v>
      </c>
      <c r="C541" s="1088" t="s">
        <v>561</v>
      </c>
      <c r="D541" s="1088"/>
      <c r="E541" s="271" t="s">
        <v>284</v>
      </c>
      <c r="F541" s="270" t="s">
        <v>475</v>
      </c>
      <c r="G541" s="1083">
        <f>VLOOKUP(B541,'[1]BD assignatures'!C:D,2,FALSE)</f>
        <v>75</v>
      </c>
      <c r="H541" s="1083"/>
      <c r="I541" s="1087" t="s">
        <v>476</v>
      </c>
      <c r="J541" s="1087"/>
      <c r="K541" s="286">
        <f>HLOOKUP(B541,'[1]BD assignatures'!$X$34:$DS$42,3,FALSE)</f>
        <v>38</v>
      </c>
      <c r="L541" s="254">
        <f t="shared" si="12"/>
        <v>0.50666666666666671</v>
      </c>
      <c r="M541" s="286">
        <f>HLOOKUP(B541,'[1]BD assignatures'!$X$34:$DS$42,6,FALSE)</f>
        <v>4</v>
      </c>
      <c r="N541" s="254">
        <f t="shared" si="13"/>
        <v>5.3333333333333337E-2</v>
      </c>
      <c r="O541" s="286">
        <f>HLOOKUP(B541,'[1]BD assignatures'!$X$34:$DS$42,7,FALSE)</f>
        <v>20</v>
      </c>
      <c r="P541" s="254">
        <f t="shared" si="14"/>
        <v>0.26666666666666666</v>
      </c>
      <c r="Q541" s="286">
        <f>HLOOKUP(B541,'[1]BD assignatures'!$X$34:$DS$42,9,FALSE)</f>
        <v>9</v>
      </c>
      <c r="R541" s="254">
        <f t="shared" si="15"/>
        <v>0.12</v>
      </c>
      <c r="S541" s="286">
        <f>HLOOKUP(B541,'[1]BD assignatures'!$X$34:$DS$42,4,FALSE)</f>
        <v>3</v>
      </c>
      <c r="T541" s="254">
        <f t="shared" si="16"/>
        <v>0.04</v>
      </c>
      <c r="U541" s="286">
        <f>HLOOKUP(B541,'[1]BD assignatures'!$X$34:$DS$42,5,FALSE)</f>
        <v>1</v>
      </c>
      <c r="V541" s="254">
        <f t="shared" si="17"/>
        <v>1.3333333333333334E-2</v>
      </c>
      <c r="X541" s="651">
        <f t="shared" si="18"/>
        <v>0</v>
      </c>
    </row>
    <row r="542" spans="2:24" ht="25" thickBot="1" x14ac:dyDescent="0.25">
      <c r="B542" s="252">
        <v>37204007</v>
      </c>
      <c r="C542" s="1011" t="s">
        <v>562</v>
      </c>
      <c r="D542" s="1011"/>
      <c r="E542" s="253" t="s">
        <v>261</v>
      </c>
      <c r="F542" s="252" t="s">
        <v>475</v>
      </c>
      <c r="G542" s="1083">
        <f>VLOOKUP(B542,'[1]BD assignatures'!C:D,2,FALSE)</f>
        <v>79</v>
      </c>
      <c r="H542" s="1083"/>
      <c r="I542" s="1083" t="s">
        <v>476</v>
      </c>
      <c r="J542" s="1083"/>
      <c r="K542" s="286">
        <f>HLOOKUP(B542,'[1]BD assignatures'!$X$34:$DS$42,3,FALSE)</f>
        <v>43</v>
      </c>
      <c r="L542" s="254">
        <f t="shared" si="12"/>
        <v>0.54430379746835444</v>
      </c>
      <c r="M542" s="286">
        <f>HLOOKUP(B542,'[1]BD assignatures'!$X$34:$DS$42,6,FALSE)</f>
        <v>2</v>
      </c>
      <c r="N542" s="254">
        <f t="shared" si="13"/>
        <v>2.5316455696202531E-2</v>
      </c>
      <c r="O542" s="286">
        <f>HLOOKUP(B542,'[1]BD assignatures'!$X$34:$DS$42,7,FALSE)</f>
        <v>26</v>
      </c>
      <c r="P542" s="254">
        <f t="shared" si="14"/>
        <v>0.32911392405063289</v>
      </c>
      <c r="Q542" s="286">
        <f>HLOOKUP(B542,'[1]BD assignatures'!$X$34:$DS$42,9,FALSE)</f>
        <v>5</v>
      </c>
      <c r="R542" s="254">
        <f t="shared" si="15"/>
        <v>6.3291139240506333E-2</v>
      </c>
      <c r="S542" s="286">
        <f>HLOOKUP(B542,'[1]BD assignatures'!$X$34:$DS$42,4,FALSE)</f>
        <v>3</v>
      </c>
      <c r="T542" s="254">
        <f t="shared" si="16"/>
        <v>3.7974683544303799E-2</v>
      </c>
      <c r="U542" s="286">
        <f>HLOOKUP(B542,'[1]BD assignatures'!$X$34:$DS$42,5,FALSE)</f>
        <v>0</v>
      </c>
      <c r="V542" s="254">
        <f t="shared" si="17"/>
        <v>0</v>
      </c>
      <c r="X542" s="651">
        <f t="shared" si="18"/>
        <v>0</v>
      </c>
    </row>
    <row r="543" spans="2:24" ht="16" thickBot="1" x14ac:dyDescent="0.25">
      <c r="B543" s="246">
        <v>37204103</v>
      </c>
      <c r="C543" s="1011" t="s">
        <v>563</v>
      </c>
      <c r="D543" s="1011"/>
      <c r="E543" s="247" t="s">
        <v>284</v>
      </c>
      <c r="F543" s="246" t="s">
        <v>475</v>
      </c>
      <c r="G543" s="1083">
        <f>VLOOKUP(B543,'[1]BD assignatures'!C:D,2,FALSE)</f>
        <v>75</v>
      </c>
      <c r="H543" s="1083"/>
      <c r="I543" s="1082" t="s">
        <v>476</v>
      </c>
      <c r="J543" s="1082"/>
      <c r="K543" s="286">
        <f>HLOOKUP(B543,'[1]BD assignatures'!$X$34:$DS$42,3,FALSE)</f>
        <v>54</v>
      </c>
      <c r="L543" s="254">
        <f t="shared" si="12"/>
        <v>0.72</v>
      </c>
      <c r="M543" s="286">
        <f>HLOOKUP(B543,'[1]BD assignatures'!$X$34:$DS$42,6,FALSE)</f>
        <v>1</v>
      </c>
      <c r="N543" s="254">
        <f t="shared" si="13"/>
        <v>1.3333333333333334E-2</v>
      </c>
      <c r="O543" s="286">
        <f>HLOOKUP(B543,'[1]BD assignatures'!$X$34:$DS$42,7,FALSE)</f>
        <v>16</v>
      </c>
      <c r="P543" s="254">
        <f t="shared" si="14"/>
        <v>0.21333333333333335</v>
      </c>
      <c r="Q543" s="286">
        <f>HLOOKUP(B543,'[1]BD assignatures'!$X$34:$DS$42,9,FALSE)</f>
        <v>4</v>
      </c>
      <c r="R543" s="254">
        <f t="shared" si="15"/>
        <v>5.3333333333333337E-2</v>
      </c>
      <c r="S543" s="286">
        <f>HLOOKUP(B543,'[1]BD assignatures'!$X$34:$DS$42,4,FALSE)</f>
        <v>0</v>
      </c>
      <c r="T543" s="254">
        <f t="shared" si="16"/>
        <v>0</v>
      </c>
      <c r="U543" s="286">
        <f>HLOOKUP(B543,'[1]BD assignatures'!$X$34:$DS$42,5,FALSE)</f>
        <v>0</v>
      </c>
      <c r="V543" s="254">
        <f t="shared" si="17"/>
        <v>0</v>
      </c>
      <c r="X543" s="651">
        <f t="shared" si="18"/>
        <v>0</v>
      </c>
    </row>
    <row r="544" spans="2:24" ht="16" thickBot="1" x14ac:dyDescent="0.25">
      <c r="B544" s="246">
        <v>37204101</v>
      </c>
      <c r="C544" s="1011" t="s">
        <v>564</v>
      </c>
      <c r="D544" s="1011"/>
      <c r="E544" s="247" t="s">
        <v>284</v>
      </c>
      <c r="F544" s="246" t="s">
        <v>475</v>
      </c>
      <c r="G544" s="1083">
        <f>VLOOKUP(B544,'[1]BD assignatures'!C:D,2,FALSE)</f>
        <v>68</v>
      </c>
      <c r="H544" s="1083"/>
      <c r="I544" s="1082" t="s">
        <v>476</v>
      </c>
      <c r="J544" s="1082"/>
      <c r="K544" s="286">
        <f>HLOOKUP(B544,'[1]BD assignatures'!$X$34:$DS$42,3,FALSE)</f>
        <v>41</v>
      </c>
      <c r="L544" s="254">
        <f t="shared" si="12"/>
        <v>0.6029411764705882</v>
      </c>
      <c r="M544" s="286">
        <f>HLOOKUP(B544,'[1]BD assignatures'!$X$34:$DS$42,6,FALSE)</f>
        <v>0</v>
      </c>
      <c r="N544" s="254">
        <f t="shared" si="13"/>
        <v>0</v>
      </c>
      <c r="O544" s="286">
        <f>HLOOKUP(B544,'[1]BD assignatures'!$X$34:$DS$42,7,FALSE)</f>
        <v>25</v>
      </c>
      <c r="P544" s="254">
        <f t="shared" si="14"/>
        <v>0.36764705882352944</v>
      </c>
      <c r="Q544" s="286">
        <f>HLOOKUP(B544,'[1]BD assignatures'!$X$34:$DS$42,9,FALSE)</f>
        <v>0</v>
      </c>
      <c r="R544" s="254">
        <f t="shared" si="15"/>
        <v>0</v>
      </c>
      <c r="S544" s="286">
        <f>HLOOKUP(B544,'[1]BD assignatures'!$X$34:$DS$42,4,FALSE)</f>
        <v>0</v>
      </c>
      <c r="T544" s="254">
        <f t="shared" si="16"/>
        <v>0</v>
      </c>
      <c r="U544" s="286">
        <f>HLOOKUP(B544,'[1]BD assignatures'!$X$34:$DS$42,5,FALSE)</f>
        <v>2</v>
      </c>
      <c r="V544" s="254">
        <f t="shared" si="17"/>
        <v>2.9411764705882353E-2</v>
      </c>
      <c r="X544" s="651">
        <f t="shared" si="18"/>
        <v>0</v>
      </c>
    </row>
    <row r="545" spans="2:24" ht="25" thickBot="1" x14ac:dyDescent="0.25">
      <c r="B545" s="246">
        <v>37204008</v>
      </c>
      <c r="C545" s="1011" t="s">
        <v>565</v>
      </c>
      <c r="D545" s="1011"/>
      <c r="E545" s="247" t="s">
        <v>261</v>
      </c>
      <c r="F545" s="246" t="s">
        <v>475</v>
      </c>
      <c r="G545" s="1083">
        <f>VLOOKUP(B545,'[1]BD assignatures'!C:D,2,FALSE)</f>
        <v>77</v>
      </c>
      <c r="H545" s="1083"/>
      <c r="I545" s="1082" t="s">
        <v>476</v>
      </c>
      <c r="J545" s="1082"/>
      <c r="K545" s="286">
        <f>HLOOKUP(B545,'[1]BD assignatures'!$X$34:$DS$42,3,FALSE)</f>
        <v>57</v>
      </c>
      <c r="L545" s="254">
        <f t="shared" si="12"/>
        <v>0.74025974025974028</v>
      </c>
      <c r="M545" s="286">
        <f>HLOOKUP(B545,'[1]BD assignatures'!$X$34:$DS$42,6,FALSE)</f>
        <v>1</v>
      </c>
      <c r="N545" s="254">
        <f t="shared" si="13"/>
        <v>1.2987012987012988E-2</v>
      </c>
      <c r="O545" s="286">
        <f>HLOOKUP(B545,'[1]BD assignatures'!$X$34:$DS$42,7,FALSE)</f>
        <v>13</v>
      </c>
      <c r="P545" s="254">
        <f t="shared" si="14"/>
        <v>0.16883116883116883</v>
      </c>
      <c r="Q545" s="286">
        <f>HLOOKUP(B545,'[1]BD assignatures'!$X$34:$DS$42,9,FALSE)</f>
        <v>5</v>
      </c>
      <c r="R545" s="254">
        <f t="shared" si="15"/>
        <v>6.4935064935064929E-2</v>
      </c>
      <c r="S545" s="286">
        <f>HLOOKUP(B545,'[1]BD assignatures'!$X$34:$DS$42,4,FALSE)</f>
        <v>1</v>
      </c>
      <c r="T545" s="254">
        <f t="shared" si="16"/>
        <v>1.2987012987012988E-2</v>
      </c>
      <c r="U545" s="286">
        <f>HLOOKUP(B545,'[1]BD assignatures'!$X$34:$DS$42,5,FALSE)</f>
        <v>0</v>
      </c>
      <c r="V545" s="254">
        <f t="shared" si="17"/>
        <v>0</v>
      </c>
      <c r="X545" s="651">
        <f t="shared" si="18"/>
        <v>0</v>
      </c>
    </row>
    <row r="546" spans="2:24" ht="36" customHeight="1" thickBot="1" x14ac:dyDescent="0.25">
      <c r="B546" s="246">
        <v>37204108</v>
      </c>
      <c r="C546" s="1011" t="s">
        <v>566</v>
      </c>
      <c r="D546" s="1011"/>
      <c r="E546" s="247" t="s">
        <v>284</v>
      </c>
      <c r="F546" s="246" t="s">
        <v>475</v>
      </c>
      <c r="G546" s="1083">
        <f>VLOOKUP(B546,'[1]BD assignatures'!C:D,2,FALSE)</f>
        <v>65</v>
      </c>
      <c r="H546" s="1083"/>
      <c r="I546" s="1082" t="s">
        <v>476</v>
      </c>
      <c r="J546" s="1082"/>
      <c r="K546" s="286">
        <f>HLOOKUP(B546,'[1]BD assignatures'!$X$34:$DS$42,3,FALSE)</f>
        <v>18</v>
      </c>
      <c r="L546" s="254">
        <f t="shared" si="12"/>
        <v>0.27692307692307694</v>
      </c>
      <c r="M546" s="286">
        <f>HLOOKUP(B546,'[1]BD assignatures'!$X$34:$DS$42,6,FALSE)</f>
        <v>2</v>
      </c>
      <c r="N546" s="254">
        <f t="shared" si="13"/>
        <v>3.0769230769230771E-2</v>
      </c>
      <c r="O546" s="286">
        <f>HLOOKUP(B546,'[1]BD assignatures'!$X$34:$DS$42,7,FALSE)</f>
        <v>34</v>
      </c>
      <c r="P546" s="254">
        <f t="shared" si="14"/>
        <v>0.52307692307692311</v>
      </c>
      <c r="Q546" s="286">
        <f>HLOOKUP(B546,'[1]BD assignatures'!$X$34:$DS$42,9,FALSE)</f>
        <v>1</v>
      </c>
      <c r="R546" s="254">
        <f t="shared" si="15"/>
        <v>1.5384615384615385E-2</v>
      </c>
      <c r="S546" s="286">
        <f>HLOOKUP(B546,'[1]BD assignatures'!$X$34:$DS$42,4,FALSE)</f>
        <v>10</v>
      </c>
      <c r="T546" s="254">
        <f t="shared" si="16"/>
        <v>0.15384615384615385</v>
      </c>
      <c r="U546" s="286">
        <f>HLOOKUP(B546,'[1]BD assignatures'!$X$34:$DS$42,5,FALSE)</f>
        <v>0</v>
      </c>
      <c r="V546" s="254">
        <f t="shared" si="17"/>
        <v>0</v>
      </c>
      <c r="X546" s="651">
        <f t="shared" si="18"/>
        <v>0</v>
      </c>
    </row>
    <row r="547" spans="2:24" ht="26.25" customHeight="1" thickBot="1" x14ac:dyDescent="0.25">
      <c r="B547" s="246">
        <v>37204115</v>
      </c>
      <c r="C547" s="1011" t="s">
        <v>567</v>
      </c>
      <c r="D547" s="1011"/>
      <c r="E547" s="247" t="s">
        <v>284</v>
      </c>
      <c r="F547" s="246" t="s">
        <v>475</v>
      </c>
      <c r="G547" s="1083">
        <f>VLOOKUP(B547,'[1]BD assignatures'!C:D,2,FALSE)</f>
        <v>58</v>
      </c>
      <c r="H547" s="1083"/>
      <c r="I547" s="1082" t="s">
        <v>476</v>
      </c>
      <c r="J547" s="1082"/>
      <c r="K547" s="286">
        <f>HLOOKUP(B547,'[1]BD assignatures'!$X$34:$DS$42,3,FALSE)</f>
        <v>20</v>
      </c>
      <c r="L547" s="254">
        <f t="shared" si="12"/>
        <v>0.34482758620689657</v>
      </c>
      <c r="M547" s="286">
        <f>HLOOKUP(B547,'[1]BD assignatures'!$X$34:$DS$42,6,FALSE)</f>
        <v>0</v>
      </c>
      <c r="N547" s="254">
        <f t="shared" si="13"/>
        <v>0</v>
      </c>
      <c r="O547" s="286">
        <f>HLOOKUP(B547,'[1]BD assignatures'!$X$34:$DS$42,7,FALSE)</f>
        <v>25</v>
      </c>
      <c r="P547" s="254">
        <f t="shared" si="14"/>
        <v>0.43103448275862066</v>
      </c>
      <c r="Q547" s="286">
        <f>HLOOKUP(B547,'[1]BD assignatures'!$X$34:$DS$42,9,FALSE)</f>
        <v>0</v>
      </c>
      <c r="R547" s="254">
        <f t="shared" si="15"/>
        <v>0</v>
      </c>
      <c r="S547" s="286">
        <f>HLOOKUP(B547,'[1]BD assignatures'!$X$34:$DS$42,4,FALSE)</f>
        <v>13</v>
      </c>
      <c r="T547" s="254">
        <f t="shared" si="16"/>
        <v>0.22413793103448276</v>
      </c>
      <c r="U547" s="286">
        <f>HLOOKUP(B547,'[1]BD assignatures'!$X$34:$DS$42,5,FALSE)</f>
        <v>0</v>
      </c>
      <c r="V547" s="254">
        <f t="shared" si="17"/>
        <v>0</v>
      </c>
      <c r="X547" s="651">
        <f t="shared" si="18"/>
        <v>0</v>
      </c>
    </row>
    <row r="548" spans="2:24" ht="33.75" customHeight="1" thickBot="1" x14ac:dyDescent="0.25">
      <c r="B548" s="246">
        <v>37204119</v>
      </c>
      <c r="C548" s="1011" t="s">
        <v>568</v>
      </c>
      <c r="D548" s="1011"/>
      <c r="E548" s="247" t="s">
        <v>284</v>
      </c>
      <c r="F548" s="246" t="s">
        <v>181</v>
      </c>
      <c r="G548" s="1083">
        <f>VLOOKUP(B548,'[1]BD assignatures'!C:D,2,FALSE)</f>
        <v>64</v>
      </c>
      <c r="H548" s="1083"/>
      <c r="I548" s="1082" t="s">
        <v>476</v>
      </c>
      <c r="J548" s="1082"/>
      <c r="K548" s="286">
        <f>HLOOKUP(B548,'[1]BD assignatures'!$X$34:$DS$42,3,FALSE)</f>
        <v>17</v>
      </c>
      <c r="L548" s="254">
        <f t="shared" si="12"/>
        <v>0.265625</v>
      </c>
      <c r="M548" s="286">
        <f>HLOOKUP(B548,'[1]BD assignatures'!$X$34:$DS$42,6,FALSE)</f>
        <v>4</v>
      </c>
      <c r="N548" s="254">
        <f t="shared" si="13"/>
        <v>6.25E-2</v>
      </c>
      <c r="O548" s="286">
        <f>HLOOKUP(B548,'[1]BD assignatures'!$X$34:$DS$42,7,FALSE)</f>
        <v>34</v>
      </c>
      <c r="P548" s="254">
        <f t="shared" si="14"/>
        <v>0.53125</v>
      </c>
      <c r="Q548" s="286">
        <f>HLOOKUP(B548,'[1]BD assignatures'!$X$34:$DS$42,9,FALSE)</f>
        <v>1</v>
      </c>
      <c r="R548" s="254">
        <f t="shared" si="15"/>
        <v>1.5625E-2</v>
      </c>
      <c r="S548" s="286">
        <f>HLOOKUP(B548,'[1]BD assignatures'!$X$34:$DS$42,4,FALSE)</f>
        <v>8</v>
      </c>
      <c r="T548" s="254">
        <f t="shared" si="16"/>
        <v>0.125</v>
      </c>
      <c r="U548" s="286">
        <f>HLOOKUP(B548,'[1]BD assignatures'!$X$34:$DS$42,5,FALSE)</f>
        <v>0</v>
      </c>
      <c r="V548" s="254">
        <f t="shared" si="17"/>
        <v>0</v>
      </c>
      <c r="X548" s="651">
        <f t="shared" si="18"/>
        <v>0</v>
      </c>
    </row>
    <row r="549" spans="2:24" ht="16" thickBot="1" x14ac:dyDescent="0.25">
      <c r="B549" s="246">
        <v>37204102</v>
      </c>
      <c r="C549" s="1011" t="s">
        <v>569</v>
      </c>
      <c r="D549" s="1011"/>
      <c r="E549" s="247" t="s">
        <v>284</v>
      </c>
      <c r="F549" s="246" t="s">
        <v>181</v>
      </c>
      <c r="G549" s="1083">
        <f>VLOOKUP(B549,'[1]BD assignatures'!C:D,2,FALSE)</f>
        <v>92</v>
      </c>
      <c r="H549" s="1083"/>
      <c r="I549" s="1082" t="s">
        <v>476</v>
      </c>
      <c r="J549" s="1082"/>
      <c r="K549" s="286">
        <f>HLOOKUP(B549,'[1]BD assignatures'!$X$34:$DS$42,3,FALSE)</f>
        <v>33</v>
      </c>
      <c r="L549" s="254">
        <f t="shared" si="12"/>
        <v>0.35869565217391303</v>
      </c>
      <c r="M549" s="286">
        <f>HLOOKUP(B549,'[1]BD assignatures'!$X$34:$DS$42,6,FALSE)</f>
        <v>4</v>
      </c>
      <c r="N549" s="254">
        <f t="shared" si="13"/>
        <v>4.3478260869565216E-2</v>
      </c>
      <c r="O549" s="286">
        <f>HLOOKUP(B549,'[1]BD assignatures'!$X$34:$DS$42,7,FALSE)</f>
        <v>9</v>
      </c>
      <c r="P549" s="254">
        <f t="shared" si="14"/>
        <v>9.7826086956521743E-2</v>
      </c>
      <c r="Q549" s="286">
        <f>HLOOKUP(B549,'[1]BD assignatures'!$X$34:$DS$42,9,FALSE)</f>
        <v>45</v>
      </c>
      <c r="R549" s="254">
        <f t="shared" si="15"/>
        <v>0.4891304347826087</v>
      </c>
      <c r="S549" s="286">
        <f>HLOOKUP(B549,'[1]BD assignatures'!$X$34:$DS$42,4,FALSE)</f>
        <v>0</v>
      </c>
      <c r="T549" s="254">
        <f t="shared" si="16"/>
        <v>0</v>
      </c>
      <c r="U549" s="286">
        <f>HLOOKUP(B549,'[1]BD assignatures'!$X$34:$DS$42,5,FALSE)</f>
        <v>1</v>
      </c>
      <c r="V549" s="254">
        <f t="shared" si="17"/>
        <v>1.0869565217391304E-2</v>
      </c>
      <c r="X549" s="651">
        <f t="shared" si="18"/>
        <v>0</v>
      </c>
    </row>
    <row r="550" spans="2:24" ht="16" thickBot="1" x14ac:dyDescent="0.25">
      <c r="B550" s="246">
        <v>37204125</v>
      </c>
      <c r="C550" s="1011" t="s">
        <v>570</v>
      </c>
      <c r="D550" s="1011"/>
      <c r="E550" s="247" t="s">
        <v>284</v>
      </c>
      <c r="F550" s="246" t="s">
        <v>181</v>
      </c>
      <c r="G550" s="1083">
        <f>VLOOKUP(B550,'[1]BD assignatures'!C:D,2,FALSE)</f>
        <v>68</v>
      </c>
      <c r="H550" s="1083"/>
      <c r="I550" s="1082" t="s">
        <v>502</v>
      </c>
      <c r="J550" s="1082"/>
      <c r="K550" s="286">
        <f>HLOOKUP(B550,'[1]BD assignatures'!$X$34:$DS$42,3,FALSE)</f>
        <v>13</v>
      </c>
      <c r="L550" s="254">
        <f t="shared" si="12"/>
        <v>0.19117647058823528</v>
      </c>
      <c r="M550" s="286">
        <f>HLOOKUP(B550,'[1]BD assignatures'!$X$34:$DS$42,6,FALSE)</f>
        <v>2</v>
      </c>
      <c r="N550" s="254">
        <f t="shared" si="13"/>
        <v>2.9411764705882353E-2</v>
      </c>
      <c r="O550" s="286">
        <f>HLOOKUP(B550,'[1]BD assignatures'!$X$34:$DS$42,7,FALSE)</f>
        <v>48</v>
      </c>
      <c r="P550" s="254">
        <f t="shared" si="14"/>
        <v>0.70588235294117652</v>
      </c>
      <c r="Q550" s="286">
        <f>HLOOKUP(B550,'[1]BD assignatures'!$X$34:$DS$42,9,FALSE)</f>
        <v>0</v>
      </c>
      <c r="R550" s="254">
        <f t="shared" si="15"/>
        <v>0</v>
      </c>
      <c r="S550" s="286">
        <f>HLOOKUP(B550,'[1]BD assignatures'!$X$34:$DS$42,4,FALSE)</f>
        <v>5</v>
      </c>
      <c r="T550" s="254">
        <f t="shared" si="16"/>
        <v>7.3529411764705885E-2</v>
      </c>
      <c r="U550" s="286">
        <f>HLOOKUP(B550,'[1]BD assignatures'!$X$34:$DS$42,5,FALSE)</f>
        <v>0</v>
      </c>
      <c r="V550" s="254">
        <f t="shared" si="17"/>
        <v>0</v>
      </c>
      <c r="X550" s="651">
        <f t="shared" si="18"/>
        <v>0</v>
      </c>
    </row>
    <row r="551" spans="2:24" ht="34.5" customHeight="1" thickBot="1" x14ac:dyDescent="0.25">
      <c r="B551" s="246">
        <v>37204124</v>
      </c>
      <c r="C551" s="1011" t="s">
        <v>571</v>
      </c>
      <c r="D551" s="1011"/>
      <c r="E551" s="247" t="s">
        <v>284</v>
      </c>
      <c r="F551" s="246" t="s">
        <v>475</v>
      </c>
      <c r="G551" s="1083">
        <f>VLOOKUP(B551,'[1]BD assignatures'!C:D,2,FALSE)</f>
        <v>61</v>
      </c>
      <c r="H551" s="1083"/>
      <c r="I551" s="1082" t="s">
        <v>476</v>
      </c>
      <c r="J551" s="1082"/>
      <c r="K551" s="286">
        <f>HLOOKUP(B551,'[1]BD assignatures'!$X$34:$DS$42,3,FALSE)</f>
        <v>51</v>
      </c>
      <c r="L551" s="254">
        <f t="shared" si="12"/>
        <v>0.83606557377049184</v>
      </c>
      <c r="M551" s="286">
        <f>HLOOKUP(B551,'[1]BD assignatures'!$X$34:$DS$42,6,FALSE)</f>
        <v>0</v>
      </c>
      <c r="N551" s="254">
        <f t="shared" si="13"/>
        <v>0</v>
      </c>
      <c r="O551" s="286">
        <f>HLOOKUP(B551,'[1]BD assignatures'!$X$34:$DS$42,7,FALSE)</f>
        <v>8</v>
      </c>
      <c r="P551" s="254">
        <f t="shared" si="14"/>
        <v>0.13114754098360656</v>
      </c>
      <c r="Q551" s="286">
        <f>HLOOKUP(B551,'[1]BD assignatures'!$X$34:$DS$42,9,FALSE)</f>
        <v>2</v>
      </c>
      <c r="R551" s="254">
        <f t="shared" si="15"/>
        <v>3.2786885245901641E-2</v>
      </c>
      <c r="S551" s="286">
        <f>HLOOKUP(B551,'[1]BD assignatures'!$X$34:$DS$42,4,FALSE)</f>
        <v>0</v>
      </c>
      <c r="T551" s="254">
        <f t="shared" si="16"/>
        <v>0</v>
      </c>
      <c r="U551" s="286">
        <f>HLOOKUP(B551,'[1]BD assignatures'!$X$34:$DS$42,5,FALSE)</f>
        <v>0</v>
      </c>
      <c r="V551" s="254">
        <f t="shared" si="17"/>
        <v>0</v>
      </c>
      <c r="X551" s="651">
        <f t="shared" si="18"/>
        <v>0</v>
      </c>
    </row>
    <row r="552" spans="2:24" ht="25" thickBot="1" x14ac:dyDescent="0.25">
      <c r="B552" s="246">
        <v>37204009</v>
      </c>
      <c r="C552" s="1011" t="s">
        <v>572</v>
      </c>
      <c r="D552" s="1011"/>
      <c r="E552" s="247" t="s">
        <v>261</v>
      </c>
      <c r="F552" s="246" t="s">
        <v>475</v>
      </c>
      <c r="G552" s="1083">
        <f>VLOOKUP(B552,'[1]BD assignatures'!C:D,2,FALSE)</f>
        <v>59</v>
      </c>
      <c r="H552" s="1083"/>
      <c r="I552" s="1082" t="s">
        <v>476</v>
      </c>
      <c r="J552" s="1082"/>
      <c r="K552" s="286">
        <f>HLOOKUP(B552,'[1]BD assignatures'!$X$34:$DS$42,3,FALSE)</f>
        <v>47</v>
      </c>
      <c r="L552" s="254">
        <f t="shared" si="12"/>
        <v>0.79661016949152541</v>
      </c>
      <c r="M552" s="286">
        <f>HLOOKUP(B552,'[1]BD assignatures'!$X$34:$DS$42,6,FALSE)</f>
        <v>0</v>
      </c>
      <c r="N552" s="254">
        <f t="shared" si="13"/>
        <v>0</v>
      </c>
      <c r="O552" s="286">
        <f>HLOOKUP(B552,'[1]BD assignatures'!$X$34:$DS$42,7,FALSE)</f>
        <v>6</v>
      </c>
      <c r="P552" s="254">
        <f t="shared" si="14"/>
        <v>0.10169491525423729</v>
      </c>
      <c r="Q552" s="286">
        <f>HLOOKUP(B552,'[1]BD assignatures'!$X$34:$DS$42,9,FALSE)</f>
        <v>6</v>
      </c>
      <c r="R552" s="254">
        <f t="shared" si="15"/>
        <v>0.10169491525423729</v>
      </c>
      <c r="S552" s="286">
        <f>HLOOKUP(B552,'[1]BD assignatures'!$X$34:$DS$42,4,FALSE)</f>
        <v>0</v>
      </c>
      <c r="T552" s="254">
        <f t="shared" si="16"/>
        <v>0</v>
      </c>
      <c r="U552" s="286">
        <f>HLOOKUP(B552,'[1]BD assignatures'!$X$34:$DS$42,5,FALSE)</f>
        <v>0</v>
      </c>
      <c r="V552" s="254">
        <f t="shared" si="17"/>
        <v>0</v>
      </c>
      <c r="X552" s="651">
        <f t="shared" si="18"/>
        <v>0</v>
      </c>
    </row>
    <row r="553" spans="2:24" ht="25.5" customHeight="1" thickBot="1" x14ac:dyDescent="0.25">
      <c r="B553" s="270">
        <v>37204133</v>
      </c>
      <c r="C553" s="1088" t="s">
        <v>573</v>
      </c>
      <c r="D553" s="1088"/>
      <c r="E553" s="271" t="s">
        <v>284</v>
      </c>
      <c r="F553" s="270" t="s">
        <v>475</v>
      </c>
      <c r="G553" s="1083">
        <f>VLOOKUP(B553,'[1]BD assignatures'!C:D,2,FALSE)</f>
        <v>63</v>
      </c>
      <c r="H553" s="1083"/>
      <c r="I553" s="1087" t="s">
        <v>476</v>
      </c>
      <c r="J553" s="1087"/>
      <c r="K553" s="286">
        <f>HLOOKUP(B553,'[1]BD assignatures'!$X$34:$DS$42,3,FALSE)</f>
        <v>21</v>
      </c>
      <c r="L553" s="254">
        <f t="shared" si="12"/>
        <v>0.33333333333333331</v>
      </c>
      <c r="M553" s="286">
        <f>HLOOKUP(B553,'[1]BD assignatures'!$X$34:$DS$42,6,FALSE)</f>
        <v>0</v>
      </c>
      <c r="N553" s="254">
        <f t="shared" si="13"/>
        <v>0</v>
      </c>
      <c r="O553" s="286">
        <f>HLOOKUP(B553,'[1]BD assignatures'!$X$34:$DS$42,7,FALSE)</f>
        <v>29</v>
      </c>
      <c r="P553" s="254">
        <f t="shared" si="14"/>
        <v>0.46031746031746029</v>
      </c>
      <c r="Q553" s="286">
        <f>HLOOKUP(B553,'[1]BD assignatures'!$X$34:$DS$42,9,FALSE)</f>
        <v>1</v>
      </c>
      <c r="R553" s="254">
        <f t="shared" si="15"/>
        <v>1.5873015873015872E-2</v>
      </c>
      <c r="S553" s="286">
        <f>HLOOKUP(B553,'[1]BD assignatures'!$X$34:$DS$42,4,FALSE)</f>
        <v>12</v>
      </c>
      <c r="T553" s="254">
        <f t="shared" si="16"/>
        <v>0.19047619047619047</v>
      </c>
      <c r="U553" s="286">
        <f>HLOOKUP(B553,'[1]BD assignatures'!$X$34:$DS$42,5,FALSE)</f>
        <v>0</v>
      </c>
      <c r="V553" s="254">
        <f t="shared" si="17"/>
        <v>0</v>
      </c>
      <c r="X553" s="651">
        <f t="shared" si="18"/>
        <v>0</v>
      </c>
    </row>
    <row r="554" spans="2:24" ht="23.25" customHeight="1" thickBot="1" x14ac:dyDescent="0.25">
      <c r="B554" s="252">
        <v>37204111</v>
      </c>
      <c r="C554" s="1011" t="s">
        <v>574</v>
      </c>
      <c r="D554" s="1011"/>
      <c r="E554" s="253" t="s">
        <v>284</v>
      </c>
      <c r="F554" s="252" t="s">
        <v>475</v>
      </c>
      <c r="G554" s="1083">
        <f>VLOOKUP(B554,'[1]BD assignatures'!C:D,2,FALSE)</f>
        <v>53</v>
      </c>
      <c r="H554" s="1083"/>
      <c r="I554" s="1083" t="s">
        <v>476</v>
      </c>
      <c r="J554" s="1083"/>
      <c r="K554" s="286">
        <f>HLOOKUP(B554,'[1]BD assignatures'!$X$34:$DS$42,3,FALSE)</f>
        <v>29</v>
      </c>
      <c r="L554" s="254">
        <f t="shared" si="12"/>
        <v>0.54716981132075471</v>
      </c>
      <c r="M554" s="286">
        <f>HLOOKUP(B554,'[1]BD assignatures'!$X$34:$DS$42,6,FALSE)</f>
        <v>0</v>
      </c>
      <c r="N554" s="254">
        <f t="shared" si="13"/>
        <v>0</v>
      </c>
      <c r="O554" s="286">
        <f>HLOOKUP(B554,'[1]BD assignatures'!$X$34:$DS$42,7,FALSE)</f>
        <v>19</v>
      </c>
      <c r="P554" s="254">
        <f t="shared" si="14"/>
        <v>0.35849056603773582</v>
      </c>
      <c r="Q554" s="286">
        <f>HLOOKUP(B554,'[1]BD assignatures'!$X$34:$DS$42,9,FALSE)</f>
        <v>2</v>
      </c>
      <c r="R554" s="254">
        <f t="shared" si="15"/>
        <v>3.7735849056603772E-2</v>
      </c>
      <c r="S554" s="286">
        <f>HLOOKUP(B554,'[1]BD assignatures'!$X$34:$DS$42,4,FALSE)</f>
        <v>3</v>
      </c>
      <c r="T554" s="254">
        <f t="shared" si="16"/>
        <v>5.6603773584905662E-2</v>
      </c>
      <c r="U554" s="286">
        <f>HLOOKUP(B554,'[1]BD assignatures'!$X$34:$DS$42,5,FALSE)</f>
        <v>0</v>
      </c>
      <c r="V554" s="254">
        <f t="shared" si="17"/>
        <v>0</v>
      </c>
      <c r="X554" s="651">
        <f t="shared" si="18"/>
        <v>0</v>
      </c>
    </row>
    <row r="555" spans="2:24" ht="37.5" customHeight="1" thickBot="1" x14ac:dyDescent="0.25">
      <c r="B555" s="246">
        <v>37204135</v>
      </c>
      <c r="C555" s="1011" t="s">
        <v>575</v>
      </c>
      <c r="D555" s="1011"/>
      <c r="E555" s="247" t="s">
        <v>284</v>
      </c>
      <c r="F555" s="246" t="s">
        <v>475</v>
      </c>
      <c r="G555" s="1083">
        <f>VLOOKUP(B555,'[1]BD assignatures'!C:D,2,FALSE)</f>
        <v>46</v>
      </c>
      <c r="H555" s="1083"/>
      <c r="I555" s="1082" t="s">
        <v>476</v>
      </c>
      <c r="J555" s="1082"/>
      <c r="K555" s="286">
        <f>HLOOKUP(B555,'[1]BD assignatures'!$X$34:$DS$42,3,FALSE)</f>
        <v>12</v>
      </c>
      <c r="L555" s="254">
        <f t="shared" si="12"/>
        <v>0.2608695652173913</v>
      </c>
      <c r="M555" s="286">
        <f>HLOOKUP(B555,'[1]BD assignatures'!$X$34:$DS$42,6,FALSE)</f>
        <v>0</v>
      </c>
      <c r="N555" s="254">
        <f t="shared" si="13"/>
        <v>0</v>
      </c>
      <c r="O555" s="286">
        <f>HLOOKUP(B555,'[1]BD assignatures'!$X$34:$DS$42,7,FALSE)</f>
        <v>19</v>
      </c>
      <c r="P555" s="254">
        <f t="shared" si="14"/>
        <v>0.41304347826086957</v>
      </c>
      <c r="Q555" s="286">
        <f>HLOOKUP(B555,'[1]BD assignatures'!$X$34:$DS$42,9,FALSE)</f>
        <v>1</v>
      </c>
      <c r="R555" s="254">
        <f t="shared" si="15"/>
        <v>2.1739130434782608E-2</v>
      </c>
      <c r="S555" s="286">
        <f>HLOOKUP(B555,'[1]BD assignatures'!$X$34:$DS$42,4,FALSE)</f>
        <v>14</v>
      </c>
      <c r="T555" s="254">
        <f t="shared" si="16"/>
        <v>0.30434782608695654</v>
      </c>
      <c r="U555" s="286">
        <f>HLOOKUP(B555,'[1]BD assignatures'!$X$34:$DS$42,5,FALSE)</f>
        <v>0</v>
      </c>
      <c r="V555" s="254">
        <f t="shared" si="17"/>
        <v>0</v>
      </c>
      <c r="X555" s="651">
        <f t="shared" si="18"/>
        <v>0</v>
      </c>
    </row>
    <row r="556" spans="2:24" ht="37.5" customHeight="1" thickBot="1" x14ac:dyDescent="0.25">
      <c r="B556" s="246">
        <v>37204136</v>
      </c>
      <c r="C556" s="1011" t="s">
        <v>1194</v>
      </c>
      <c r="D556" s="1011"/>
      <c r="E556" s="247" t="s">
        <v>284</v>
      </c>
      <c r="F556" s="246" t="s">
        <v>475</v>
      </c>
      <c r="G556" s="1083">
        <f>VLOOKUP(B556,'[1]BD assignatures'!C:D,2,FALSE)</f>
        <v>35</v>
      </c>
      <c r="H556" s="1083"/>
      <c r="I556" s="1082" t="s">
        <v>476</v>
      </c>
      <c r="J556" s="1082"/>
      <c r="K556" s="286">
        <f>HLOOKUP(B556,'[1]BD assignatures'!$X$34:$DS$42,3,FALSE)</f>
        <v>15</v>
      </c>
      <c r="L556" s="254">
        <f t="shared" si="12"/>
        <v>0.42857142857142855</v>
      </c>
      <c r="M556" s="286">
        <f>HLOOKUP(B556,'[1]BD assignatures'!$X$34:$DS$42,6,FALSE)</f>
        <v>0</v>
      </c>
      <c r="N556" s="254">
        <f t="shared" si="13"/>
        <v>0</v>
      </c>
      <c r="O556" s="286">
        <f>HLOOKUP(B556,'[1]BD assignatures'!$X$34:$DS$42,7,FALSE)</f>
        <v>14</v>
      </c>
      <c r="P556" s="254">
        <f t="shared" si="14"/>
        <v>0.4</v>
      </c>
      <c r="Q556" s="286">
        <f>HLOOKUP(B556,'[1]BD assignatures'!$X$34:$DS$42,9,FALSE)</f>
        <v>6</v>
      </c>
      <c r="R556" s="254">
        <f t="shared" si="15"/>
        <v>0.17142857142857143</v>
      </c>
      <c r="S556" s="286">
        <f>HLOOKUP(B556,'[1]BD assignatures'!$X$34:$DS$42,4,FALSE)</f>
        <v>0</v>
      </c>
      <c r="T556" s="254">
        <f t="shared" si="16"/>
        <v>0</v>
      </c>
      <c r="U556" s="286">
        <f>HLOOKUP(B556,'[1]BD assignatures'!$X$34:$DS$42,5,FALSE)</f>
        <v>0</v>
      </c>
      <c r="V556" s="254">
        <f t="shared" si="17"/>
        <v>0</v>
      </c>
      <c r="X556" s="651">
        <f t="shared" si="18"/>
        <v>0</v>
      </c>
    </row>
    <row r="557" spans="2:24" ht="33.75" customHeight="1" thickBot="1" x14ac:dyDescent="0.25">
      <c r="B557" s="246">
        <v>37204105</v>
      </c>
      <c r="C557" s="1078" t="s">
        <v>925</v>
      </c>
      <c r="D557" s="1078"/>
      <c r="E557" s="247" t="s">
        <v>284</v>
      </c>
      <c r="F557" s="246" t="s">
        <v>475</v>
      </c>
      <c r="G557" s="1083">
        <f>VLOOKUP(B557,'[1]BD assignatures'!C:D,2,FALSE)</f>
        <v>49</v>
      </c>
      <c r="H557" s="1083"/>
      <c r="I557" s="1082" t="s">
        <v>476</v>
      </c>
      <c r="J557" s="1082"/>
      <c r="K557" s="286">
        <f>HLOOKUP(B557,'[1]BD assignatures'!$X$34:$DS$42,3,FALSE)</f>
        <v>24</v>
      </c>
      <c r="L557" s="254">
        <f t="shared" si="12"/>
        <v>0.48979591836734693</v>
      </c>
      <c r="M557" s="286">
        <f>HLOOKUP(B557,'[1]BD assignatures'!$X$34:$DS$42,6,FALSE)</f>
        <v>0</v>
      </c>
      <c r="N557" s="254">
        <f t="shared" si="13"/>
        <v>0</v>
      </c>
      <c r="O557" s="286">
        <f>HLOOKUP(B557,'[1]BD assignatures'!$X$34:$DS$42,7,FALSE)</f>
        <v>24</v>
      </c>
      <c r="P557" s="254">
        <f t="shared" si="14"/>
        <v>0.48979591836734693</v>
      </c>
      <c r="Q557" s="286">
        <f>HLOOKUP(B557,'[1]BD assignatures'!$X$34:$DS$42,9,FALSE)</f>
        <v>0</v>
      </c>
      <c r="R557" s="254">
        <f t="shared" si="15"/>
        <v>0</v>
      </c>
      <c r="S557" s="286">
        <f>HLOOKUP(B557,'[1]BD assignatures'!$X$34:$DS$42,4,FALSE)</f>
        <v>1</v>
      </c>
      <c r="T557" s="254">
        <f t="shared" si="16"/>
        <v>2.0408163265306121E-2</v>
      </c>
      <c r="U557" s="286">
        <f>HLOOKUP(B557,'[1]BD assignatures'!$X$34:$DS$42,5,FALSE)</f>
        <v>0</v>
      </c>
      <c r="V557" s="254">
        <f t="shared" si="17"/>
        <v>0</v>
      </c>
      <c r="X557" s="651">
        <f t="shared" si="18"/>
        <v>0</v>
      </c>
    </row>
    <row r="558" spans="2:24" ht="28.5" customHeight="1" thickBot="1" x14ac:dyDescent="0.25">
      <c r="B558" s="246">
        <v>37204137</v>
      </c>
      <c r="C558" s="1011" t="s">
        <v>576</v>
      </c>
      <c r="D558" s="1011"/>
      <c r="E558" s="247" t="s">
        <v>284</v>
      </c>
      <c r="F558" s="246" t="s">
        <v>475</v>
      </c>
      <c r="G558" s="1083">
        <f>VLOOKUP(B558,'[1]BD assignatures'!C:D,2,FALSE)</f>
        <v>46</v>
      </c>
      <c r="H558" s="1083"/>
      <c r="I558" s="1082" t="s">
        <v>476</v>
      </c>
      <c r="J558" s="1082"/>
      <c r="K558" s="286">
        <f>HLOOKUP(B558,'[1]BD assignatures'!$X$34:$DS$42,3,FALSE)</f>
        <v>8</v>
      </c>
      <c r="L558" s="254">
        <f t="shared" si="12"/>
        <v>0.17391304347826086</v>
      </c>
      <c r="M558" s="286">
        <f>HLOOKUP(B558,'[1]BD assignatures'!$X$34:$DS$42,6,FALSE)</f>
        <v>1</v>
      </c>
      <c r="N558" s="254">
        <f t="shared" si="13"/>
        <v>2.1739130434782608E-2</v>
      </c>
      <c r="O558" s="286">
        <f>HLOOKUP(B558,'[1]BD assignatures'!$X$34:$DS$42,7,FALSE)</f>
        <v>32</v>
      </c>
      <c r="P558" s="254">
        <f t="shared" si="14"/>
        <v>0.69565217391304346</v>
      </c>
      <c r="Q558" s="286">
        <f>HLOOKUP(B558,'[1]BD assignatures'!$X$34:$DS$42,9,FALSE)</f>
        <v>0</v>
      </c>
      <c r="R558" s="254">
        <f t="shared" si="15"/>
        <v>0</v>
      </c>
      <c r="S558" s="286">
        <f>HLOOKUP(B558,'[1]BD assignatures'!$X$34:$DS$42,4,FALSE)</f>
        <v>5</v>
      </c>
      <c r="T558" s="254">
        <f t="shared" si="16"/>
        <v>0.10869565217391304</v>
      </c>
      <c r="U558" s="286">
        <f>HLOOKUP(B558,'[1]BD assignatures'!$X$34:$DS$42,5,FALSE)</f>
        <v>0</v>
      </c>
      <c r="V558" s="254">
        <f t="shared" si="17"/>
        <v>0</v>
      </c>
      <c r="X558" s="651">
        <f t="shared" si="18"/>
        <v>0</v>
      </c>
    </row>
    <row r="559" spans="2:24" ht="37.5" customHeight="1" thickBot="1" x14ac:dyDescent="0.25">
      <c r="B559" s="246">
        <v>37204121</v>
      </c>
      <c r="C559" s="1011" t="s">
        <v>577</v>
      </c>
      <c r="D559" s="1011"/>
      <c r="E559" s="247" t="s">
        <v>284</v>
      </c>
      <c r="F559" s="246" t="s">
        <v>475</v>
      </c>
      <c r="G559" s="1083">
        <f>VLOOKUP(B559,'[1]BD assignatures'!C:D,2,FALSE)</f>
        <v>50</v>
      </c>
      <c r="H559" s="1083"/>
      <c r="I559" s="1082" t="s">
        <v>476</v>
      </c>
      <c r="J559" s="1082"/>
      <c r="K559" s="286">
        <f>HLOOKUP(B559,'[1]BD assignatures'!$X$34:$DS$42,3,FALSE)</f>
        <v>0</v>
      </c>
      <c r="L559" s="254">
        <f t="shared" si="12"/>
        <v>0</v>
      </c>
      <c r="M559" s="286">
        <f>HLOOKUP(B559,'[1]BD assignatures'!$X$34:$DS$42,6,FALSE)</f>
        <v>3</v>
      </c>
      <c r="N559" s="254">
        <f t="shared" si="13"/>
        <v>0.06</v>
      </c>
      <c r="O559" s="286">
        <f>HLOOKUP(B559,'[1]BD assignatures'!$X$34:$DS$42,7,FALSE)</f>
        <v>42</v>
      </c>
      <c r="P559" s="254">
        <f t="shared" si="14"/>
        <v>0.84</v>
      </c>
      <c r="Q559" s="286">
        <f>HLOOKUP(B559,'[1]BD assignatures'!$X$34:$DS$42,9,FALSE)</f>
        <v>1</v>
      </c>
      <c r="R559" s="254">
        <f t="shared" si="15"/>
        <v>0.02</v>
      </c>
      <c r="S559" s="286">
        <f>HLOOKUP(B559,'[1]BD assignatures'!$X$34:$DS$42,4,FALSE)</f>
        <v>4</v>
      </c>
      <c r="T559" s="254">
        <f t="shared" si="16"/>
        <v>0.08</v>
      </c>
      <c r="U559" s="286">
        <f>HLOOKUP(B559,'[1]BD assignatures'!$X$34:$DS$42,5,FALSE)</f>
        <v>0</v>
      </c>
      <c r="V559" s="254">
        <f t="shared" si="17"/>
        <v>0</v>
      </c>
      <c r="X559" s="651">
        <f t="shared" si="18"/>
        <v>0</v>
      </c>
    </row>
    <row r="560" spans="2:24" ht="16" thickBot="1" x14ac:dyDescent="0.25">
      <c r="B560" s="246">
        <v>37204106</v>
      </c>
      <c r="C560" s="1011" t="s">
        <v>578</v>
      </c>
      <c r="D560" s="1011"/>
      <c r="E560" s="247" t="s">
        <v>284</v>
      </c>
      <c r="F560" s="246" t="s">
        <v>475</v>
      </c>
      <c r="G560" s="1083">
        <f>VLOOKUP(B560,'[1]BD assignatures'!C:D,2,FALSE)</f>
        <v>52</v>
      </c>
      <c r="H560" s="1083"/>
      <c r="I560" s="1082" t="s">
        <v>476</v>
      </c>
      <c r="J560" s="1082"/>
      <c r="K560" s="286">
        <f>HLOOKUP(B560,'[1]BD assignatures'!$X$34:$DS$42,3,FALSE)</f>
        <v>18</v>
      </c>
      <c r="L560" s="254">
        <f t="shared" si="12"/>
        <v>0.34615384615384615</v>
      </c>
      <c r="M560" s="286">
        <f>HLOOKUP(B560,'[1]BD assignatures'!$X$34:$DS$42,6,FALSE)</f>
        <v>0</v>
      </c>
      <c r="N560" s="254">
        <f t="shared" si="13"/>
        <v>0</v>
      </c>
      <c r="O560" s="286">
        <f>HLOOKUP(B560,'[1]BD assignatures'!$X$34:$DS$42,7,FALSE)</f>
        <v>21</v>
      </c>
      <c r="P560" s="254">
        <f t="shared" si="14"/>
        <v>0.40384615384615385</v>
      </c>
      <c r="Q560" s="286">
        <f>HLOOKUP(B560,'[1]BD assignatures'!$X$34:$DS$42,9,FALSE)</f>
        <v>6</v>
      </c>
      <c r="R560" s="254">
        <f t="shared" si="15"/>
        <v>0.11538461538461539</v>
      </c>
      <c r="S560" s="286">
        <f>HLOOKUP(B560,'[1]BD assignatures'!$X$34:$DS$42,4,FALSE)</f>
        <v>6</v>
      </c>
      <c r="T560" s="254">
        <f t="shared" si="16"/>
        <v>0.11538461538461539</v>
      </c>
      <c r="U560" s="286">
        <f>HLOOKUP(B560,'[1]BD assignatures'!$X$34:$DS$42,5,FALSE)</f>
        <v>1</v>
      </c>
      <c r="V560" s="254">
        <f t="shared" si="17"/>
        <v>1.9230769230769232E-2</v>
      </c>
      <c r="X560" s="651">
        <f t="shared" si="18"/>
        <v>0</v>
      </c>
    </row>
    <row r="561" spans="2:24" ht="16" thickBot="1" x14ac:dyDescent="0.25">
      <c r="B561" s="246">
        <v>37204104</v>
      </c>
      <c r="C561" s="1011" t="s">
        <v>579</v>
      </c>
      <c r="D561" s="1011"/>
      <c r="E561" s="247" t="s">
        <v>284</v>
      </c>
      <c r="F561" s="246" t="s">
        <v>181</v>
      </c>
      <c r="G561" s="1083">
        <f>VLOOKUP(B561,'[1]BD assignatures'!C:D,2,FALSE)</f>
        <v>49</v>
      </c>
      <c r="H561" s="1083"/>
      <c r="I561" s="1082" t="s">
        <v>476</v>
      </c>
      <c r="J561" s="1082"/>
      <c r="K561" s="286">
        <f>HLOOKUP(B561,'[1]BD assignatures'!$X$34:$DS$42,3,FALSE)</f>
        <v>10</v>
      </c>
      <c r="L561" s="254">
        <f t="shared" si="12"/>
        <v>0.20408163265306123</v>
      </c>
      <c r="M561" s="286">
        <f>HLOOKUP(B561,'[1]BD assignatures'!$X$34:$DS$42,6,FALSE)</f>
        <v>2</v>
      </c>
      <c r="N561" s="254">
        <f t="shared" si="13"/>
        <v>4.0816326530612242E-2</v>
      </c>
      <c r="O561" s="286">
        <f>HLOOKUP(B561,'[1]BD assignatures'!$X$34:$DS$42,7,FALSE)</f>
        <v>32</v>
      </c>
      <c r="P561" s="254">
        <f t="shared" si="14"/>
        <v>0.65306122448979587</v>
      </c>
      <c r="Q561" s="286">
        <f>HLOOKUP(B561,'[1]BD assignatures'!$X$34:$DS$42,9,FALSE)</f>
        <v>4</v>
      </c>
      <c r="R561" s="254">
        <f t="shared" si="15"/>
        <v>8.1632653061224483E-2</v>
      </c>
      <c r="S561" s="286">
        <f>HLOOKUP(B561,'[1]BD assignatures'!$X$34:$DS$42,4,FALSE)</f>
        <v>0</v>
      </c>
      <c r="T561" s="254">
        <f t="shared" si="16"/>
        <v>0</v>
      </c>
      <c r="U561" s="286">
        <f>HLOOKUP(B561,'[1]BD assignatures'!$X$34:$DS$42,5,FALSE)</f>
        <v>1</v>
      </c>
      <c r="V561" s="254">
        <f t="shared" si="17"/>
        <v>2.0408163265306121E-2</v>
      </c>
      <c r="X561" s="651">
        <f t="shared" si="18"/>
        <v>0</v>
      </c>
    </row>
    <row r="562" spans="2:24" ht="38.25" customHeight="1" thickBot="1" x14ac:dyDescent="0.25">
      <c r="B562" s="246">
        <v>37204109</v>
      </c>
      <c r="C562" s="1011" t="s">
        <v>581</v>
      </c>
      <c r="D562" s="1011"/>
      <c r="E562" s="247" t="s">
        <v>284</v>
      </c>
      <c r="F562" s="246" t="s">
        <v>181</v>
      </c>
      <c r="G562" s="1083">
        <f>VLOOKUP(B562,'[1]BD assignatures'!C:D,2,FALSE)</f>
        <v>47</v>
      </c>
      <c r="H562" s="1083"/>
      <c r="I562" s="1082" t="s">
        <v>582</v>
      </c>
      <c r="J562" s="1082"/>
      <c r="K562" s="286">
        <f>HLOOKUP(B562,'[1]BD assignatures'!$X$34:$DS$42,3,FALSE)</f>
        <v>17</v>
      </c>
      <c r="L562" s="254">
        <f t="shared" si="12"/>
        <v>0.36170212765957449</v>
      </c>
      <c r="M562" s="286">
        <f>HLOOKUP(B562,'[1]BD assignatures'!$X$34:$DS$42,6,FALSE)</f>
        <v>1</v>
      </c>
      <c r="N562" s="254">
        <f t="shared" si="13"/>
        <v>2.1276595744680851E-2</v>
      </c>
      <c r="O562" s="286">
        <f>HLOOKUP(B562,'[1]BD assignatures'!$X$34:$DS$42,7,FALSE)</f>
        <v>27</v>
      </c>
      <c r="P562" s="254">
        <f t="shared" si="14"/>
        <v>0.57446808510638303</v>
      </c>
      <c r="Q562" s="286">
        <f>HLOOKUP(B562,'[1]BD assignatures'!$X$34:$DS$42,9,FALSE)</f>
        <v>1</v>
      </c>
      <c r="R562" s="254">
        <f t="shared" si="15"/>
        <v>2.1276595744680851E-2</v>
      </c>
      <c r="S562" s="286">
        <f>HLOOKUP(B562,'[1]BD assignatures'!$X$34:$DS$42,4,FALSE)</f>
        <v>1</v>
      </c>
      <c r="T562" s="254">
        <f t="shared" si="16"/>
        <v>2.1276595744680851E-2</v>
      </c>
      <c r="U562" s="286">
        <f>HLOOKUP(B562,'[1]BD assignatures'!$X$34:$DS$42,5,FALSE)</f>
        <v>0</v>
      </c>
      <c r="V562" s="254">
        <f t="shared" si="17"/>
        <v>0</v>
      </c>
      <c r="X562" s="651">
        <f t="shared" si="18"/>
        <v>0</v>
      </c>
    </row>
    <row r="563" spans="2:24" ht="16" thickBot="1" x14ac:dyDescent="0.25">
      <c r="B563" s="246">
        <v>37204107</v>
      </c>
      <c r="C563" s="1011" t="s">
        <v>583</v>
      </c>
      <c r="D563" s="1011"/>
      <c r="E563" s="247" t="s">
        <v>284</v>
      </c>
      <c r="F563" s="246" t="s">
        <v>181</v>
      </c>
      <c r="G563" s="1083">
        <f>VLOOKUP(B563,'[1]BD assignatures'!C:D,2,FALSE)</f>
        <v>44</v>
      </c>
      <c r="H563" s="1083"/>
      <c r="I563" s="1082" t="s">
        <v>476</v>
      </c>
      <c r="J563" s="1082"/>
      <c r="K563" s="286">
        <f>HLOOKUP(B563,'[1]BD assignatures'!$X$34:$DS$42,3,FALSE)</f>
        <v>24</v>
      </c>
      <c r="L563" s="254">
        <f t="shared" si="12"/>
        <v>0.54545454545454541</v>
      </c>
      <c r="M563" s="286">
        <f>HLOOKUP(B563,'[1]BD assignatures'!$X$34:$DS$42,6,FALSE)</f>
        <v>0</v>
      </c>
      <c r="N563" s="254">
        <f t="shared" si="13"/>
        <v>0</v>
      </c>
      <c r="O563" s="286">
        <f>HLOOKUP(B563,'[1]BD assignatures'!$X$34:$DS$42,7,FALSE)</f>
        <v>18</v>
      </c>
      <c r="P563" s="254">
        <f t="shared" si="14"/>
        <v>0.40909090909090912</v>
      </c>
      <c r="Q563" s="286">
        <f>HLOOKUP(B563,'[1]BD assignatures'!$X$34:$DS$42,9,FALSE)</f>
        <v>1</v>
      </c>
      <c r="R563" s="254">
        <f t="shared" si="15"/>
        <v>2.2727272727272728E-2</v>
      </c>
      <c r="S563" s="286">
        <f>HLOOKUP(B563,'[1]BD assignatures'!$X$34:$DS$42,4,FALSE)</f>
        <v>0</v>
      </c>
      <c r="T563" s="254">
        <f t="shared" si="16"/>
        <v>0</v>
      </c>
      <c r="U563" s="286">
        <f>HLOOKUP(B563,'[1]BD assignatures'!$X$34:$DS$42,5,FALSE)</f>
        <v>1</v>
      </c>
      <c r="V563" s="254">
        <f t="shared" si="17"/>
        <v>2.2727272727272728E-2</v>
      </c>
      <c r="X563" s="651">
        <f t="shared" si="18"/>
        <v>0</v>
      </c>
    </row>
    <row r="564" spans="2:24" ht="27" customHeight="1" thickBot="1" x14ac:dyDescent="0.25">
      <c r="B564" s="246">
        <v>37204126</v>
      </c>
      <c r="C564" s="1011" t="s">
        <v>584</v>
      </c>
      <c r="D564" s="1011"/>
      <c r="E564" s="247" t="s">
        <v>284</v>
      </c>
      <c r="F564" s="246" t="s">
        <v>181</v>
      </c>
      <c r="G564" s="1083">
        <f>VLOOKUP(B564,'[1]BD assignatures'!C:D,2,FALSE)</f>
        <v>42</v>
      </c>
      <c r="H564" s="1083"/>
      <c r="I564" s="1082" t="s">
        <v>476</v>
      </c>
      <c r="J564" s="1082"/>
      <c r="K564" s="286">
        <f>HLOOKUP(B564,'[1]BD assignatures'!$X$34:$DS$42,3,FALSE)</f>
        <v>9</v>
      </c>
      <c r="L564" s="254">
        <f t="shared" si="12"/>
        <v>0.21428571428571427</v>
      </c>
      <c r="M564" s="286">
        <f>HLOOKUP(B564,'[1]BD assignatures'!$X$34:$DS$42,6,FALSE)</f>
        <v>3</v>
      </c>
      <c r="N564" s="254">
        <f t="shared" si="13"/>
        <v>7.1428571428571425E-2</v>
      </c>
      <c r="O564" s="286">
        <f>HLOOKUP(B564,'[1]BD assignatures'!$X$34:$DS$42,7,FALSE)</f>
        <v>30</v>
      </c>
      <c r="P564" s="254">
        <f t="shared" si="14"/>
        <v>0.7142857142857143</v>
      </c>
      <c r="Q564" s="286">
        <f>HLOOKUP(B564,'[1]BD assignatures'!$X$34:$DS$42,9,FALSE)</f>
        <v>0</v>
      </c>
      <c r="R564" s="254">
        <f t="shared" si="15"/>
        <v>0</v>
      </c>
      <c r="S564" s="286">
        <f>HLOOKUP(B564,'[1]BD assignatures'!$X$34:$DS$42,4,FALSE)</f>
        <v>0</v>
      </c>
      <c r="T564" s="254">
        <f t="shared" si="16"/>
        <v>0</v>
      </c>
      <c r="U564" s="286">
        <f>HLOOKUP(B564,'[1]BD assignatures'!$X$34:$DS$42,5,FALSE)</f>
        <v>0</v>
      </c>
      <c r="V564" s="254">
        <f t="shared" si="17"/>
        <v>0</v>
      </c>
      <c r="X564" s="651">
        <f t="shared" si="18"/>
        <v>0</v>
      </c>
    </row>
    <row r="565" spans="2:24" ht="33" customHeight="1" thickBot="1" x14ac:dyDescent="0.25">
      <c r="B565" s="246">
        <v>37204110</v>
      </c>
      <c r="C565" s="1011" t="s">
        <v>585</v>
      </c>
      <c r="D565" s="1011"/>
      <c r="E565" s="247" t="s">
        <v>284</v>
      </c>
      <c r="F565" s="246" t="s">
        <v>181</v>
      </c>
      <c r="G565" s="1083">
        <f>VLOOKUP(B565,'[1]BD assignatures'!C:D,2,FALSE)</f>
        <v>51</v>
      </c>
      <c r="H565" s="1083"/>
      <c r="I565" s="1082" t="s">
        <v>476</v>
      </c>
      <c r="J565" s="1082"/>
      <c r="K565" s="286">
        <f>HLOOKUP(B565,'[1]BD assignatures'!$X$34:$DS$42,3,FALSE)</f>
        <v>38</v>
      </c>
      <c r="L565" s="254">
        <f t="shared" si="12"/>
        <v>0.74509803921568629</v>
      </c>
      <c r="M565" s="286">
        <f>HLOOKUP(B565,'[1]BD assignatures'!$X$34:$DS$42,6,FALSE)</f>
        <v>0</v>
      </c>
      <c r="N565" s="254">
        <f t="shared" si="13"/>
        <v>0</v>
      </c>
      <c r="O565" s="286">
        <f>HLOOKUP(B565,'[1]BD assignatures'!$X$34:$DS$42,7,FALSE)</f>
        <v>7</v>
      </c>
      <c r="P565" s="254">
        <f t="shared" si="14"/>
        <v>0.13725490196078433</v>
      </c>
      <c r="Q565" s="286">
        <f>HLOOKUP(B565,'[1]BD assignatures'!$X$34:$DS$42,9,FALSE)</f>
        <v>5</v>
      </c>
      <c r="R565" s="254">
        <f t="shared" si="15"/>
        <v>9.8039215686274508E-2</v>
      </c>
      <c r="S565" s="286">
        <f>HLOOKUP(B565,'[1]BD assignatures'!$X$34:$DS$42,4,FALSE)</f>
        <v>1</v>
      </c>
      <c r="T565" s="254">
        <f t="shared" si="16"/>
        <v>1.9607843137254902E-2</v>
      </c>
      <c r="U565" s="286">
        <f>HLOOKUP(B565,'[1]BD assignatures'!$X$34:$DS$42,5,FALSE)</f>
        <v>0</v>
      </c>
      <c r="V565" s="254">
        <f t="shared" si="17"/>
        <v>0</v>
      </c>
      <c r="X565" s="651">
        <f t="shared" si="18"/>
        <v>0</v>
      </c>
    </row>
    <row r="566" spans="2:24" ht="27.75" customHeight="1" thickBot="1" x14ac:dyDescent="0.25">
      <c r="B566" s="246">
        <v>37204218</v>
      </c>
      <c r="C566" s="1011" t="s">
        <v>587</v>
      </c>
      <c r="D566" s="1011"/>
      <c r="E566" s="247" t="s">
        <v>317</v>
      </c>
      <c r="F566" s="246" t="s">
        <v>475</v>
      </c>
      <c r="G566" s="1083">
        <f>VLOOKUP(B566,'[1]BD assignatures'!C:D,2,FALSE)</f>
        <v>14</v>
      </c>
      <c r="H566" s="1083"/>
      <c r="I566" s="1082" t="s">
        <v>476</v>
      </c>
      <c r="J566" s="1082"/>
      <c r="K566" s="286">
        <f>HLOOKUP(B566,'[1]BD assignatures'!$X$34:$DS$42,3,FALSE)</f>
        <v>6</v>
      </c>
      <c r="L566" s="254">
        <f t="shared" si="12"/>
        <v>0.42857142857142855</v>
      </c>
      <c r="M566" s="286">
        <f>HLOOKUP(B566,'[1]BD assignatures'!$X$34:$DS$42,6,FALSE)</f>
        <v>2</v>
      </c>
      <c r="N566" s="254">
        <f t="shared" si="13"/>
        <v>0.14285714285714285</v>
      </c>
      <c r="O566" s="286">
        <f>HLOOKUP(B566,'[1]BD assignatures'!$X$34:$DS$42,7,FALSE)</f>
        <v>6</v>
      </c>
      <c r="P566" s="254">
        <f t="shared" si="14"/>
        <v>0.42857142857142855</v>
      </c>
      <c r="Q566" s="286">
        <f>HLOOKUP(B566,'[1]BD assignatures'!$X$34:$DS$42,9,FALSE)</f>
        <v>0</v>
      </c>
      <c r="R566" s="254">
        <f t="shared" si="15"/>
        <v>0</v>
      </c>
      <c r="S566" s="286">
        <f>HLOOKUP(B566,'[1]BD assignatures'!$X$34:$DS$42,4,FALSE)</f>
        <v>0</v>
      </c>
      <c r="T566" s="254">
        <f t="shared" si="16"/>
        <v>0</v>
      </c>
      <c r="U566" s="286">
        <f>HLOOKUP(B566,'[1]BD assignatures'!$X$34:$DS$42,5,FALSE)</f>
        <v>0</v>
      </c>
      <c r="V566" s="254">
        <f t="shared" si="17"/>
        <v>0</v>
      </c>
      <c r="X566" s="651">
        <f t="shared" si="18"/>
        <v>0</v>
      </c>
    </row>
    <row r="567" spans="2:24" ht="24.75" customHeight="1" thickBot="1" x14ac:dyDescent="0.25">
      <c r="B567" s="270">
        <v>37204221</v>
      </c>
      <c r="C567" s="1088" t="s">
        <v>588</v>
      </c>
      <c r="D567" s="1088"/>
      <c r="E567" s="271" t="s">
        <v>317</v>
      </c>
      <c r="F567" s="270" t="s">
        <v>475</v>
      </c>
      <c r="G567" s="1083">
        <f>VLOOKUP(B567,'[1]BD assignatures'!C:D,2,FALSE)</f>
        <v>18</v>
      </c>
      <c r="H567" s="1083"/>
      <c r="I567" s="1087" t="s">
        <v>476</v>
      </c>
      <c r="J567" s="1087"/>
      <c r="K567" s="286">
        <f>HLOOKUP(B567,'[1]BD assignatures'!$X$34:$DS$42,3,FALSE)</f>
        <v>12</v>
      </c>
      <c r="L567" s="254">
        <f t="shared" si="12"/>
        <v>0.66666666666666663</v>
      </c>
      <c r="M567" s="286">
        <f>HLOOKUP(B567,'[1]BD assignatures'!$X$34:$DS$42,6,FALSE)</f>
        <v>0</v>
      </c>
      <c r="N567" s="254">
        <f t="shared" si="13"/>
        <v>0</v>
      </c>
      <c r="O567" s="286">
        <f>HLOOKUP(B567,'[1]BD assignatures'!$X$34:$DS$42,7,FALSE)</f>
        <v>4</v>
      </c>
      <c r="P567" s="254">
        <f t="shared" si="14"/>
        <v>0.22222222222222221</v>
      </c>
      <c r="Q567" s="286">
        <f>HLOOKUP(B567,'[1]BD assignatures'!$X$34:$DS$42,9,FALSE)</f>
        <v>0</v>
      </c>
      <c r="R567" s="254">
        <f t="shared" si="15"/>
        <v>0</v>
      </c>
      <c r="S567" s="286">
        <f>HLOOKUP(B567,'[1]BD assignatures'!$X$34:$DS$42,4,FALSE)</f>
        <v>1</v>
      </c>
      <c r="T567" s="254">
        <f t="shared" si="16"/>
        <v>5.5555555555555552E-2</v>
      </c>
      <c r="U567" s="286">
        <f>HLOOKUP(B567,'[1]BD assignatures'!$X$34:$DS$42,5,FALSE)</f>
        <v>1</v>
      </c>
      <c r="V567" s="254">
        <f t="shared" si="17"/>
        <v>5.5555555555555552E-2</v>
      </c>
      <c r="X567" s="651">
        <f t="shared" si="18"/>
        <v>0</v>
      </c>
    </row>
    <row r="568" spans="2:24" ht="24.75" customHeight="1" thickBot="1" x14ac:dyDescent="0.25">
      <c r="B568" s="252">
        <v>37204224</v>
      </c>
      <c r="C568" s="1011" t="s">
        <v>595</v>
      </c>
      <c r="D568" s="1011"/>
      <c r="E568" s="253" t="s">
        <v>317</v>
      </c>
      <c r="F568" s="252" t="s">
        <v>475</v>
      </c>
      <c r="G568" s="1083">
        <f>VLOOKUP(B568,'[1]BD assignatures'!C:D,2,FALSE)</f>
        <v>18</v>
      </c>
      <c r="H568" s="1083"/>
      <c r="I568" s="1083" t="s">
        <v>476</v>
      </c>
      <c r="J568" s="1083"/>
      <c r="K568" s="286">
        <f>HLOOKUP(B568,'[1]BD assignatures'!$X$34:$DS$42,3,FALSE)</f>
        <v>15</v>
      </c>
      <c r="L568" s="254">
        <f t="shared" si="12"/>
        <v>0.83333333333333337</v>
      </c>
      <c r="M568" s="286">
        <f>HLOOKUP(B568,'[1]BD assignatures'!$X$34:$DS$42,6,FALSE)</f>
        <v>0</v>
      </c>
      <c r="N568" s="254">
        <f t="shared" si="13"/>
        <v>0</v>
      </c>
      <c r="O568" s="286">
        <f>HLOOKUP(B568,'[1]BD assignatures'!$X$34:$DS$42,7,FALSE)</f>
        <v>3</v>
      </c>
      <c r="P568" s="254">
        <f t="shared" si="14"/>
        <v>0.16666666666666666</v>
      </c>
      <c r="Q568" s="286">
        <f>HLOOKUP(B568,'[1]BD assignatures'!$X$34:$DS$42,9,FALSE)</f>
        <v>0</v>
      </c>
      <c r="R568" s="254">
        <f t="shared" si="15"/>
        <v>0</v>
      </c>
      <c r="S568" s="286">
        <f>HLOOKUP(B568,'[1]BD assignatures'!$X$34:$DS$42,4,FALSE)</f>
        <v>0</v>
      </c>
      <c r="T568" s="254">
        <f t="shared" si="16"/>
        <v>0</v>
      </c>
      <c r="U568" s="286">
        <f>HLOOKUP(B568,'[1]BD assignatures'!$X$34:$DS$42,5,FALSE)</f>
        <v>0</v>
      </c>
      <c r="V568" s="254">
        <f t="shared" si="17"/>
        <v>0</v>
      </c>
      <c r="X568" s="651">
        <f t="shared" si="18"/>
        <v>0</v>
      </c>
    </row>
    <row r="569" spans="2:24" ht="16" thickBot="1" x14ac:dyDescent="0.25">
      <c r="B569" s="246">
        <v>37204116</v>
      </c>
      <c r="C569" s="1011" t="s">
        <v>596</v>
      </c>
      <c r="D569" s="1011"/>
      <c r="E569" s="247" t="s">
        <v>284</v>
      </c>
      <c r="F569" s="246" t="s">
        <v>475</v>
      </c>
      <c r="G569" s="1083">
        <f>VLOOKUP(B569,'[1]BD assignatures'!C:D,2,FALSE)</f>
        <v>38</v>
      </c>
      <c r="H569" s="1083"/>
      <c r="I569" s="1082" t="s">
        <v>476</v>
      </c>
      <c r="J569" s="1082"/>
      <c r="K569" s="286">
        <f>HLOOKUP(B569,'[1]BD assignatures'!$X$34:$DS$42,3,FALSE)</f>
        <v>0</v>
      </c>
      <c r="L569" s="254">
        <f t="shared" si="12"/>
        <v>0</v>
      </c>
      <c r="M569" s="286">
        <f>HLOOKUP(B569,'[1]BD assignatures'!$X$34:$DS$42,6,FALSE)</f>
        <v>0</v>
      </c>
      <c r="N569" s="254">
        <f t="shared" si="13"/>
        <v>0</v>
      </c>
      <c r="O569" s="286">
        <f>HLOOKUP(B569,'[1]BD assignatures'!$X$34:$DS$42,7,FALSE)</f>
        <v>24</v>
      </c>
      <c r="P569" s="254">
        <f t="shared" si="14"/>
        <v>0.63157894736842102</v>
      </c>
      <c r="Q569" s="286">
        <f>HLOOKUP(B569,'[1]BD assignatures'!$X$34:$DS$42,9,FALSE)</f>
        <v>0</v>
      </c>
      <c r="R569" s="254">
        <f t="shared" si="15"/>
        <v>0</v>
      </c>
      <c r="S569" s="286">
        <f>HLOOKUP(B569,'[1]BD assignatures'!$X$34:$DS$42,4,FALSE)</f>
        <v>14</v>
      </c>
      <c r="T569" s="254">
        <f t="shared" si="16"/>
        <v>0.36842105263157893</v>
      </c>
      <c r="U569" s="286">
        <f>HLOOKUP(B569,'[1]BD assignatures'!$X$34:$DS$42,5,FALSE)</f>
        <v>0</v>
      </c>
      <c r="V569" s="254">
        <f t="shared" si="17"/>
        <v>0</v>
      </c>
      <c r="X569" s="651">
        <f t="shared" si="18"/>
        <v>0</v>
      </c>
    </row>
    <row r="570" spans="2:24" ht="16" thickBot="1" x14ac:dyDescent="0.25">
      <c r="B570" s="246">
        <v>37204117</v>
      </c>
      <c r="C570" s="1011" t="s">
        <v>597</v>
      </c>
      <c r="D570" s="1011"/>
      <c r="E570" s="247" t="s">
        <v>284</v>
      </c>
      <c r="F570" s="246" t="s">
        <v>475</v>
      </c>
      <c r="G570" s="1083">
        <f>VLOOKUP(B570,'[1]BD assignatures'!C:D,2,FALSE)</f>
        <v>45</v>
      </c>
      <c r="H570" s="1083"/>
      <c r="I570" s="1082" t="s">
        <v>476</v>
      </c>
      <c r="J570" s="1082"/>
      <c r="K570" s="286">
        <f>HLOOKUP(B570,'[1]BD assignatures'!$X$34:$DS$42,3,FALSE)</f>
        <v>33</v>
      </c>
      <c r="L570" s="254">
        <f t="shared" si="12"/>
        <v>0.73333333333333328</v>
      </c>
      <c r="M570" s="286">
        <f>HLOOKUP(B570,'[1]BD assignatures'!$X$34:$DS$42,6,FALSE)</f>
        <v>0</v>
      </c>
      <c r="N570" s="254">
        <f t="shared" si="13"/>
        <v>0</v>
      </c>
      <c r="O570" s="286">
        <f>HLOOKUP(B570,'[1]BD assignatures'!$X$34:$DS$42,7,FALSE)</f>
        <v>10</v>
      </c>
      <c r="P570" s="254">
        <f t="shared" si="14"/>
        <v>0.22222222222222221</v>
      </c>
      <c r="Q570" s="286">
        <f>HLOOKUP(B570,'[1]BD assignatures'!$X$34:$DS$42,9,FALSE)</f>
        <v>0</v>
      </c>
      <c r="R570" s="254">
        <f t="shared" si="15"/>
        <v>0</v>
      </c>
      <c r="S570" s="286">
        <f>HLOOKUP(B570,'[1]BD assignatures'!$X$34:$DS$42,4,FALSE)</f>
        <v>1</v>
      </c>
      <c r="T570" s="254">
        <f t="shared" si="16"/>
        <v>2.2222222222222223E-2</v>
      </c>
      <c r="U570" s="286">
        <f>HLOOKUP(B570,'[1]BD assignatures'!$X$34:$DS$42,5,FALSE)</f>
        <v>1</v>
      </c>
      <c r="V570" s="254">
        <f t="shared" si="17"/>
        <v>2.2222222222222223E-2</v>
      </c>
      <c r="X570" s="651">
        <f t="shared" si="18"/>
        <v>0</v>
      </c>
    </row>
    <row r="571" spans="2:24" ht="25.5" customHeight="1" thickBot="1" x14ac:dyDescent="0.25">
      <c r="B571" s="246">
        <v>37204118</v>
      </c>
      <c r="C571" s="1011" t="s">
        <v>598</v>
      </c>
      <c r="D571" s="1011"/>
      <c r="E571" s="247" t="s">
        <v>284</v>
      </c>
      <c r="F571" s="246" t="s">
        <v>475</v>
      </c>
      <c r="G571" s="1083">
        <f>VLOOKUP(B571,'[1]BD assignatures'!C:D,2,FALSE)</f>
        <v>37</v>
      </c>
      <c r="H571" s="1083"/>
      <c r="I571" s="1082" t="s">
        <v>476</v>
      </c>
      <c r="J571" s="1082"/>
      <c r="K571" s="286">
        <f>HLOOKUP(B571,'[1]BD assignatures'!$X$34:$DS$42,3,FALSE)</f>
        <v>11</v>
      </c>
      <c r="L571" s="254">
        <f t="shared" si="12"/>
        <v>0.29729729729729731</v>
      </c>
      <c r="M571" s="286">
        <f>HLOOKUP(B571,'[1]BD assignatures'!$X$34:$DS$42,6,FALSE)</f>
        <v>0</v>
      </c>
      <c r="N571" s="254">
        <f t="shared" si="13"/>
        <v>0</v>
      </c>
      <c r="O571" s="286">
        <f>HLOOKUP(B571,'[1]BD assignatures'!$X$34:$DS$42,7,FALSE)</f>
        <v>23</v>
      </c>
      <c r="P571" s="254">
        <f t="shared" si="14"/>
        <v>0.6216216216216216</v>
      </c>
      <c r="Q571" s="286">
        <f>HLOOKUP(B571,'[1]BD assignatures'!$X$34:$DS$42,9,FALSE)</f>
        <v>0</v>
      </c>
      <c r="R571" s="254">
        <f t="shared" si="15"/>
        <v>0</v>
      </c>
      <c r="S571" s="286">
        <f>HLOOKUP(B571,'[1]BD assignatures'!$X$34:$DS$42,4,FALSE)</f>
        <v>2</v>
      </c>
      <c r="T571" s="254">
        <f t="shared" si="16"/>
        <v>5.4054054054054057E-2</v>
      </c>
      <c r="U571" s="286">
        <f>HLOOKUP(B571,'[1]BD assignatures'!$X$34:$DS$42,5,FALSE)</f>
        <v>1</v>
      </c>
      <c r="V571" s="254">
        <f t="shared" si="17"/>
        <v>2.7027027027027029E-2</v>
      </c>
      <c r="X571" s="651">
        <f t="shared" si="18"/>
        <v>0</v>
      </c>
    </row>
    <row r="572" spans="2:24" ht="24.75" customHeight="1" thickBot="1" x14ac:dyDescent="0.25">
      <c r="B572" s="246">
        <v>37204114</v>
      </c>
      <c r="C572" s="1011" t="s">
        <v>599</v>
      </c>
      <c r="D572" s="1011"/>
      <c r="E572" s="247" t="s">
        <v>284</v>
      </c>
      <c r="F572" s="246" t="s">
        <v>475</v>
      </c>
      <c r="G572" s="1083">
        <f>VLOOKUP(B572,'[1]BD assignatures'!C:D,2,FALSE)</f>
        <v>47</v>
      </c>
      <c r="H572" s="1083"/>
      <c r="I572" s="1082" t="s">
        <v>476</v>
      </c>
      <c r="J572" s="1082"/>
      <c r="K572" s="286">
        <f>HLOOKUP(B572,'[1]BD assignatures'!$X$34:$DS$42,3,FALSE)</f>
        <v>16</v>
      </c>
      <c r="L572" s="254">
        <f t="shared" si="12"/>
        <v>0.34042553191489361</v>
      </c>
      <c r="M572" s="286">
        <f>HLOOKUP(B572,'[1]BD assignatures'!$X$34:$DS$42,6,FALSE)</f>
        <v>0</v>
      </c>
      <c r="N572" s="254">
        <f t="shared" si="13"/>
        <v>0</v>
      </c>
      <c r="O572" s="286">
        <f>HLOOKUP(B572,'[1]BD assignatures'!$X$34:$DS$42,7,FALSE)</f>
        <v>20</v>
      </c>
      <c r="P572" s="254">
        <f t="shared" si="14"/>
        <v>0.42553191489361702</v>
      </c>
      <c r="Q572" s="286">
        <f>HLOOKUP(B572,'[1]BD assignatures'!$X$34:$DS$42,9,FALSE)</f>
        <v>0</v>
      </c>
      <c r="R572" s="254">
        <f t="shared" si="15"/>
        <v>0</v>
      </c>
      <c r="S572" s="286">
        <f>HLOOKUP(B572,'[1]BD assignatures'!$X$34:$DS$42,4,FALSE)</f>
        <v>11</v>
      </c>
      <c r="T572" s="254">
        <f t="shared" si="16"/>
        <v>0.23404255319148937</v>
      </c>
      <c r="U572" s="286">
        <f>HLOOKUP(B572,'[1]BD assignatures'!$X$34:$DS$42,5,FALSE)</f>
        <v>0</v>
      </c>
      <c r="V572" s="254">
        <f t="shared" si="17"/>
        <v>0</v>
      </c>
      <c r="X572" s="651">
        <f t="shared" si="18"/>
        <v>0</v>
      </c>
    </row>
    <row r="573" spans="2:24" ht="46.5" customHeight="1" thickBot="1" x14ac:dyDescent="0.25">
      <c r="B573" s="246">
        <v>37204130</v>
      </c>
      <c r="C573" s="1011" t="s">
        <v>589</v>
      </c>
      <c r="D573" s="1011"/>
      <c r="E573" s="247" t="s">
        <v>284</v>
      </c>
      <c r="F573" s="246" t="s">
        <v>475</v>
      </c>
      <c r="G573" s="1083">
        <f>VLOOKUP(B573,'[1]BD assignatures'!C:D,2,FALSE)</f>
        <v>37</v>
      </c>
      <c r="H573" s="1083"/>
      <c r="I573" s="1082" t="s">
        <v>476</v>
      </c>
      <c r="J573" s="1082"/>
      <c r="K573" s="286">
        <f>HLOOKUP(B573,'[1]BD assignatures'!$X$34:$DS$42,3,FALSE)</f>
        <v>3</v>
      </c>
      <c r="L573" s="254">
        <f t="shared" si="12"/>
        <v>8.1081081081081086E-2</v>
      </c>
      <c r="M573" s="286">
        <f>HLOOKUP(B573,'[1]BD assignatures'!$X$34:$DS$42,6,FALSE)</f>
        <v>2</v>
      </c>
      <c r="N573" s="254">
        <f t="shared" si="13"/>
        <v>5.4054054054054057E-2</v>
      </c>
      <c r="O573" s="286">
        <f>HLOOKUP(B573,'[1]BD assignatures'!$X$34:$DS$42,7,FALSE)</f>
        <v>17</v>
      </c>
      <c r="P573" s="254">
        <f t="shared" si="14"/>
        <v>0.45945945945945948</v>
      </c>
      <c r="Q573" s="286">
        <f>HLOOKUP(B573,'[1]BD assignatures'!$X$34:$DS$42,9,FALSE)</f>
        <v>0</v>
      </c>
      <c r="R573" s="254">
        <f t="shared" si="15"/>
        <v>0</v>
      </c>
      <c r="S573" s="286">
        <f>HLOOKUP(B573,'[1]BD assignatures'!$X$34:$DS$42,4,FALSE)</f>
        <v>15</v>
      </c>
      <c r="T573" s="254">
        <f t="shared" si="16"/>
        <v>0.40540540540540543</v>
      </c>
      <c r="U573" s="286">
        <f>HLOOKUP(B573,'[1]BD assignatures'!$X$34:$DS$42,5,FALSE)</f>
        <v>0</v>
      </c>
      <c r="V573" s="254">
        <f t="shared" si="17"/>
        <v>0</v>
      </c>
      <c r="X573" s="651">
        <f t="shared" si="18"/>
        <v>0</v>
      </c>
    </row>
    <row r="574" spans="2:24" ht="27.75" customHeight="1" thickBot="1" x14ac:dyDescent="0.25">
      <c r="B574" s="246">
        <v>37204128</v>
      </c>
      <c r="C574" s="1011" t="s">
        <v>590</v>
      </c>
      <c r="D574" s="1011"/>
      <c r="E574" s="247" t="s">
        <v>284</v>
      </c>
      <c r="F574" s="246" t="s">
        <v>475</v>
      </c>
      <c r="G574" s="1083">
        <f>VLOOKUP(B574,'[1]BD assignatures'!C:D,2,FALSE)</f>
        <v>38</v>
      </c>
      <c r="H574" s="1083"/>
      <c r="I574" s="1082" t="s">
        <v>476</v>
      </c>
      <c r="J574" s="1082"/>
      <c r="K574" s="286">
        <f>HLOOKUP(B574,'[1]BD assignatures'!$X$34:$DS$42,3,FALSE)</f>
        <v>4</v>
      </c>
      <c r="L574" s="254">
        <f t="shared" si="12"/>
        <v>0.10526315789473684</v>
      </c>
      <c r="M574" s="286">
        <f>HLOOKUP(B574,'[1]BD assignatures'!$X$34:$DS$42,6,FALSE)</f>
        <v>2</v>
      </c>
      <c r="N574" s="254">
        <f t="shared" si="13"/>
        <v>5.2631578947368418E-2</v>
      </c>
      <c r="O574" s="286">
        <f>HLOOKUP(B574,'[1]BD assignatures'!$X$34:$DS$42,7,FALSE)</f>
        <v>20</v>
      </c>
      <c r="P574" s="254">
        <f t="shared" si="14"/>
        <v>0.52631578947368418</v>
      </c>
      <c r="Q574" s="286">
        <f>HLOOKUP(B574,'[1]BD assignatures'!$X$34:$DS$42,9,FALSE)</f>
        <v>0</v>
      </c>
      <c r="R574" s="254">
        <f t="shared" si="15"/>
        <v>0</v>
      </c>
      <c r="S574" s="286">
        <f>HLOOKUP(B574,'[1]BD assignatures'!$X$34:$DS$42,4,FALSE)</f>
        <v>12</v>
      </c>
      <c r="T574" s="254">
        <f t="shared" si="16"/>
        <v>0.31578947368421051</v>
      </c>
      <c r="U574" s="286">
        <f>HLOOKUP(B574,'[1]BD assignatures'!$X$34:$DS$42,5,FALSE)</f>
        <v>0</v>
      </c>
      <c r="V574" s="254">
        <f t="shared" si="17"/>
        <v>0</v>
      </c>
      <c r="X574" s="651">
        <f t="shared" si="18"/>
        <v>0</v>
      </c>
    </row>
    <row r="575" spans="2:24" ht="23.25" customHeight="1" thickBot="1" x14ac:dyDescent="0.25">
      <c r="B575" s="246">
        <v>37204127</v>
      </c>
      <c r="C575" s="1011" t="s">
        <v>591</v>
      </c>
      <c r="D575" s="1011"/>
      <c r="E575" s="247" t="s">
        <v>284</v>
      </c>
      <c r="F575" s="246" t="s">
        <v>475</v>
      </c>
      <c r="G575" s="1083">
        <f>VLOOKUP(B575,'[1]BD assignatures'!C:D,2,FALSE)</f>
        <v>35</v>
      </c>
      <c r="H575" s="1083"/>
      <c r="I575" s="1082" t="s">
        <v>476</v>
      </c>
      <c r="J575" s="1082"/>
      <c r="K575" s="286">
        <f>HLOOKUP(B575,'[1]BD assignatures'!$X$34:$DS$42,3,FALSE)</f>
        <v>3</v>
      </c>
      <c r="L575" s="254">
        <f t="shared" si="12"/>
        <v>8.5714285714285715E-2</v>
      </c>
      <c r="M575" s="286">
        <f>HLOOKUP(B575,'[1]BD assignatures'!$X$34:$DS$42,6,FALSE)</f>
        <v>1</v>
      </c>
      <c r="N575" s="254">
        <f t="shared" si="13"/>
        <v>2.8571428571428571E-2</v>
      </c>
      <c r="O575" s="286">
        <f>HLOOKUP(B575,'[1]BD assignatures'!$X$34:$DS$42,7,FALSE)</f>
        <v>17</v>
      </c>
      <c r="P575" s="254">
        <f t="shared" si="14"/>
        <v>0.48571428571428571</v>
      </c>
      <c r="Q575" s="286">
        <f>HLOOKUP(B575,'[1]BD assignatures'!$X$34:$DS$42,9,FALSE)</f>
        <v>0</v>
      </c>
      <c r="R575" s="254">
        <f t="shared" si="15"/>
        <v>0</v>
      </c>
      <c r="S575" s="286">
        <f>HLOOKUP(B575,'[1]BD assignatures'!$X$34:$DS$42,4,FALSE)</f>
        <v>14</v>
      </c>
      <c r="T575" s="254">
        <f t="shared" si="16"/>
        <v>0.4</v>
      </c>
      <c r="U575" s="286">
        <f>HLOOKUP(B575,'[1]BD assignatures'!$X$34:$DS$42,5,FALSE)</f>
        <v>0</v>
      </c>
      <c r="V575" s="254">
        <f t="shared" si="17"/>
        <v>0</v>
      </c>
      <c r="X575" s="651">
        <f t="shared" si="18"/>
        <v>0</v>
      </c>
    </row>
    <row r="576" spans="2:24" ht="25.5" customHeight="1" thickBot="1" x14ac:dyDescent="0.25">
      <c r="B576" s="246">
        <v>37204129</v>
      </c>
      <c r="C576" s="1011" t="s">
        <v>592</v>
      </c>
      <c r="D576" s="1011"/>
      <c r="E576" s="247" t="s">
        <v>284</v>
      </c>
      <c r="F576" s="246" t="s">
        <v>475</v>
      </c>
      <c r="G576" s="1083">
        <f>VLOOKUP(B576,'[1]BD assignatures'!C:D,2,FALSE)</f>
        <v>41</v>
      </c>
      <c r="H576" s="1083"/>
      <c r="I576" s="1082" t="s">
        <v>476</v>
      </c>
      <c r="J576" s="1082"/>
      <c r="K576" s="286">
        <f>HLOOKUP(B576,'[1]BD assignatures'!$X$34:$DS$42,3,FALSE)</f>
        <v>8</v>
      </c>
      <c r="L576" s="254">
        <f t="shared" si="12"/>
        <v>0.1951219512195122</v>
      </c>
      <c r="M576" s="286">
        <f>HLOOKUP(B576,'[1]BD assignatures'!$X$34:$DS$42,6,FALSE)</f>
        <v>1</v>
      </c>
      <c r="N576" s="254">
        <f t="shared" si="13"/>
        <v>2.4390243902439025E-2</v>
      </c>
      <c r="O576" s="286">
        <f>HLOOKUP(B576,'[1]BD assignatures'!$X$34:$DS$42,7,FALSE)</f>
        <v>14</v>
      </c>
      <c r="P576" s="254">
        <f t="shared" si="14"/>
        <v>0.34146341463414637</v>
      </c>
      <c r="Q576" s="286">
        <f>HLOOKUP(B576,'[1]BD assignatures'!$X$34:$DS$42,9,FALSE)</f>
        <v>0</v>
      </c>
      <c r="R576" s="254">
        <f t="shared" si="15"/>
        <v>0</v>
      </c>
      <c r="S576" s="286">
        <f>HLOOKUP(B576,'[1]BD assignatures'!$X$34:$DS$42,4,FALSE)</f>
        <v>18</v>
      </c>
      <c r="T576" s="254">
        <f t="shared" si="16"/>
        <v>0.43902439024390244</v>
      </c>
      <c r="U576" s="286">
        <f>HLOOKUP(B576,'[1]BD assignatures'!$X$34:$DS$42,5,FALSE)</f>
        <v>0</v>
      </c>
      <c r="V576" s="254">
        <f t="shared" si="17"/>
        <v>0</v>
      </c>
      <c r="X576" s="651">
        <f t="shared" si="18"/>
        <v>0</v>
      </c>
    </row>
    <row r="577" spans="1:24" ht="24" customHeight="1" thickBot="1" x14ac:dyDescent="0.25">
      <c r="B577" s="246">
        <v>37204131</v>
      </c>
      <c r="C577" s="1011" t="s">
        <v>593</v>
      </c>
      <c r="D577" s="1011"/>
      <c r="E577" s="247" t="s">
        <v>284</v>
      </c>
      <c r="F577" s="246" t="s">
        <v>475</v>
      </c>
      <c r="G577" s="1083">
        <f>VLOOKUP(B577,'[1]BD assignatures'!C:D,2,FALSE)</f>
        <v>40</v>
      </c>
      <c r="H577" s="1083"/>
      <c r="I577" s="1082" t="s">
        <v>476</v>
      </c>
      <c r="J577" s="1082"/>
      <c r="K577" s="286">
        <f>HLOOKUP(B577,'[1]BD assignatures'!$X$34:$DS$42,3,FALSE)</f>
        <v>6</v>
      </c>
      <c r="L577" s="254">
        <f t="shared" si="12"/>
        <v>0.15</v>
      </c>
      <c r="M577" s="286">
        <f>HLOOKUP(B577,'[1]BD assignatures'!$X$34:$DS$42,6,FALSE)</f>
        <v>2</v>
      </c>
      <c r="N577" s="254">
        <f t="shared" si="13"/>
        <v>0.05</v>
      </c>
      <c r="O577" s="286">
        <f>HLOOKUP(B577,'[1]BD assignatures'!$X$34:$DS$42,7,FALSE)</f>
        <v>17</v>
      </c>
      <c r="P577" s="254">
        <f t="shared" si="14"/>
        <v>0.42499999999999999</v>
      </c>
      <c r="Q577" s="286">
        <f>HLOOKUP(B577,'[1]BD assignatures'!$X$34:$DS$42,9,FALSE)</f>
        <v>0</v>
      </c>
      <c r="R577" s="254">
        <f t="shared" si="15"/>
        <v>0</v>
      </c>
      <c r="S577" s="286">
        <f>HLOOKUP(B577,'[1]BD assignatures'!$X$34:$DS$42,4,FALSE)</f>
        <v>15</v>
      </c>
      <c r="T577" s="254">
        <f t="shared" si="16"/>
        <v>0.375</v>
      </c>
      <c r="U577" s="286">
        <f>HLOOKUP(B577,'[1]BD assignatures'!$X$34:$DS$42,5,FALSE)</f>
        <v>0</v>
      </c>
      <c r="V577" s="254">
        <f t="shared" si="17"/>
        <v>0</v>
      </c>
      <c r="X577" s="651">
        <f t="shared" si="18"/>
        <v>0</v>
      </c>
    </row>
    <row r="578" spans="1:24" ht="16" thickBot="1" x14ac:dyDescent="0.25">
      <c r="B578" s="246">
        <v>37204301</v>
      </c>
      <c r="C578" s="1011" t="s">
        <v>594</v>
      </c>
      <c r="D578" s="1011"/>
      <c r="E578" s="247" t="s">
        <v>284</v>
      </c>
      <c r="F578" s="246" t="s">
        <v>475</v>
      </c>
      <c r="G578" s="1083">
        <f>VLOOKUP(B578,'[1]BD assignatures'!C:D,2,FALSE)</f>
        <v>46</v>
      </c>
      <c r="H578" s="1083"/>
      <c r="I578" s="1082" t="s">
        <v>502</v>
      </c>
      <c r="J578" s="1082"/>
      <c r="K578" s="286">
        <f>HLOOKUP(B578,'[1]BD assignatures'!$X$34:$DS$42,3,FALSE)</f>
        <v>17</v>
      </c>
      <c r="L578" s="254">
        <f t="shared" si="12"/>
        <v>0.36956521739130432</v>
      </c>
      <c r="M578" s="286">
        <f>HLOOKUP(B578,'[1]BD assignatures'!$X$34:$DS$42,6,FALSE)</f>
        <v>7</v>
      </c>
      <c r="N578" s="254">
        <f t="shared" si="13"/>
        <v>0.15217391304347827</v>
      </c>
      <c r="O578" s="286">
        <f>HLOOKUP(B578,'[1]BD assignatures'!$X$34:$DS$42,7,FALSE)</f>
        <v>20</v>
      </c>
      <c r="P578" s="254">
        <f t="shared" si="14"/>
        <v>0.43478260869565216</v>
      </c>
      <c r="Q578" s="286">
        <f>HLOOKUP(B578,'[1]BD assignatures'!$X$34:$DS$42,9,FALSE)</f>
        <v>0</v>
      </c>
      <c r="R578" s="254">
        <f t="shared" si="15"/>
        <v>0</v>
      </c>
      <c r="S578" s="286">
        <f>HLOOKUP(B578,'[1]BD assignatures'!$X$34:$DS$42,4,FALSE)</f>
        <v>2</v>
      </c>
      <c r="T578" s="254">
        <f t="shared" si="16"/>
        <v>4.3478260869565216E-2</v>
      </c>
      <c r="U578" s="286">
        <f>HLOOKUP(B578,'[1]BD assignatures'!$X$34:$DS$42,5,FALSE)</f>
        <v>0</v>
      </c>
      <c r="V578" s="254">
        <f t="shared" si="17"/>
        <v>0</v>
      </c>
      <c r="X578" s="651">
        <f t="shared" si="18"/>
        <v>0</v>
      </c>
    </row>
    <row r="579" spans="1:24" ht="36" customHeight="1" thickBot="1" x14ac:dyDescent="0.25">
      <c r="B579" s="246">
        <v>37204223</v>
      </c>
      <c r="C579" s="1011" t="s">
        <v>600</v>
      </c>
      <c r="D579" s="1011"/>
      <c r="E579" s="247" t="s">
        <v>284</v>
      </c>
      <c r="F579" s="246" t="s">
        <v>475</v>
      </c>
      <c r="G579" s="1083">
        <f>VLOOKUP(B579,'[1]BD assignatures'!C:D,2,FALSE)</f>
        <v>30</v>
      </c>
      <c r="H579" s="1083"/>
      <c r="I579" s="1082" t="s">
        <v>476</v>
      </c>
      <c r="J579" s="1082"/>
      <c r="K579" s="286">
        <f>HLOOKUP(B579,'[1]BD assignatures'!$X$34:$DS$42,3,FALSE)</f>
        <v>4</v>
      </c>
      <c r="L579" s="254">
        <f t="shared" si="12"/>
        <v>0.13333333333333333</v>
      </c>
      <c r="M579" s="286">
        <f>HLOOKUP(B579,'[1]BD assignatures'!$X$34:$DS$42,6,FALSE)</f>
        <v>0</v>
      </c>
      <c r="N579" s="254">
        <f t="shared" si="13"/>
        <v>0</v>
      </c>
      <c r="O579" s="286">
        <f>HLOOKUP(B579,'[1]BD assignatures'!$X$34:$DS$42,7,FALSE)</f>
        <v>11</v>
      </c>
      <c r="P579" s="254">
        <f t="shared" si="14"/>
        <v>0.36666666666666664</v>
      </c>
      <c r="Q579" s="286">
        <f>HLOOKUP(B579,'[1]BD assignatures'!$X$34:$DS$42,9,FALSE)</f>
        <v>0</v>
      </c>
      <c r="R579" s="254">
        <f t="shared" si="15"/>
        <v>0</v>
      </c>
      <c r="S579" s="286">
        <f>HLOOKUP(B579,'[1]BD assignatures'!$X$34:$DS$42,4,FALSE)</f>
        <v>15</v>
      </c>
      <c r="T579" s="254">
        <f t="shared" si="16"/>
        <v>0.5</v>
      </c>
      <c r="U579" s="286">
        <f>HLOOKUP(B579,'[1]BD assignatures'!$X$34:$DS$42,5,FALSE)</f>
        <v>0</v>
      </c>
      <c r="V579" s="254">
        <f t="shared" si="17"/>
        <v>0</v>
      </c>
      <c r="X579" s="651">
        <f t="shared" si="18"/>
        <v>0</v>
      </c>
    </row>
    <row r="580" spans="1:24" ht="16" thickBot="1" x14ac:dyDescent="0.25">
      <c r="B580" s="246">
        <v>37204210</v>
      </c>
      <c r="C580" s="1011" t="s">
        <v>601</v>
      </c>
      <c r="D580" s="1011"/>
      <c r="E580" s="247" t="s">
        <v>284</v>
      </c>
      <c r="F580" s="246" t="s">
        <v>475</v>
      </c>
      <c r="G580" s="1083">
        <f>VLOOKUP(B580,'[1]BD assignatures'!C:D,2,FALSE)</f>
        <v>12</v>
      </c>
      <c r="H580" s="1083"/>
      <c r="I580" s="1082" t="s">
        <v>476</v>
      </c>
      <c r="J580" s="1082"/>
      <c r="K580" s="286">
        <f>HLOOKUP(B580,'[1]BD assignatures'!$X$34:$DS$42,3,FALSE)</f>
        <v>1</v>
      </c>
      <c r="L580" s="254">
        <f t="shared" si="12"/>
        <v>8.3333333333333329E-2</v>
      </c>
      <c r="M580" s="286">
        <f>HLOOKUP(B580,'[1]BD assignatures'!$X$34:$DS$42,6,FALSE)</f>
        <v>0</v>
      </c>
      <c r="N580" s="254">
        <f t="shared" si="13"/>
        <v>0</v>
      </c>
      <c r="O580" s="286">
        <f>HLOOKUP(B580,'[1]BD assignatures'!$X$34:$DS$42,7,FALSE)</f>
        <v>10</v>
      </c>
      <c r="P580" s="254">
        <f t="shared" si="14"/>
        <v>0.83333333333333337</v>
      </c>
      <c r="Q580" s="286">
        <f>HLOOKUP(B580,'[1]BD assignatures'!$X$34:$DS$42,9,FALSE)</f>
        <v>0</v>
      </c>
      <c r="R580" s="254">
        <f t="shared" si="15"/>
        <v>0</v>
      </c>
      <c r="S580" s="286">
        <f>HLOOKUP(B580,'[1]BD assignatures'!$X$34:$DS$42,4,FALSE)</f>
        <v>1</v>
      </c>
      <c r="T580" s="254">
        <f t="shared" si="16"/>
        <v>8.3333333333333329E-2</v>
      </c>
      <c r="U580" s="286">
        <f>HLOOKUP(B580,'[1]BD assignatures'!$X$34:$DS$42,5,FALSE)</f>
        <v>0</v>
      </c>
      <c r="V580" s="254">
        <f t="shared" si="17"/>
        <v>0</v>
      </c>
      <c r="X580" s="651">
        <f t="shared" si="18"/>
        <v>0</v>
      </c>
    </row>
    <row r="581" spans="1:24" ht="26.25" customHeight="1" thickBot="1" x14ac:dyDescent="0.25">
      <c r="B581" s="246">
        <v>37204205</v>
      </c>
      <c r="C581" s="1011" t="s">
        <v>602</v>
      </c>
      <c r="D581" s="1011"/>
      <c r="E581" s="247" t="s">
        <v>317</v>
      </c>
      <c r="F581" s="246" t="s">
        <v>475</v>
      </c>
      <c r="G581" s="1083">
        <f>VLOOKUP(B581,'[1]BD assignatures'!C:D,2,FALSE)</f>
        <v>31</v>
      </c>
      <c r="H581" s="1083"/>
      <c r="I581" s="1082" t="s">
        <v>476</v>
      </c>
      <c r="J581" s="1082"/>
      <c r="K581" s="286">
        <f>HLOOKUP(B581,'[1]BD assignatures'!$X$34:$DS$42,3,FALSE)</f>
        <v>8</v>
      </c>
      <c r="L581" s="254">
        <f t="shared" si="12"/>
        <v>0.25806451612903225</v>
      </c>
      <c r="M581" s="286">
        <f>HLOOKUP(B581,'[1]BD assignatures'!$X$34:$DS$42,6,FALSE)</f>
        <v>0</v>
      </c>
      <c r="N581" s="254">
        <f t="shared" si="13"/>
        <v>0</v>
      </c>
      <c r="O581" s="286">
        <f>HLOOKUP(B581,'[1]BD assignatures'!$X$34:$DS$42,7,FALSE)</f>
        <v>19</v>
      </c>
      <c r="P581" s="254">
        <f t="shared" si="14"/>
        <v>0.61290322580645162</v>
      </c>
      <c r="Q581" s="286">
        <f>HLOOKUP(B581,'[1]BD assignatures'!$X$34:$DS$42,9,FALSE)</f>
        <v>0</v>
      </c>
      <c r="R581" s="254">
        <f t="shared" si="15"/>
        <v>0</v>
      </c>
      <c r="S581" s="286">
        <f>HLOOKUP(B581,'[1]BD assignatures'!$X$34:$DS$42,4,FALSE)</f>
        <v>4</v>
      </c>
      <c r="T581" s="254">
        <f t="shared" si="16"/>
        <v>0.12903225806451613</v>
      </c>
      <c r="U581" s="286">
        <f>HLOOKUP(B581,'[1]BD assignatures'!$X$34:$DS$42,5,FALSE)</f>
        <v>0</v>
      </c>
      <c r="V581" s="254">
        <f t="shared" si="17"/>
        <v>0</v>
      </c>
      <c r="X581" s="651">
        <f t="shared" si="18"/>
        <v>0</v>
      </c>
    </row>
    <row r="582" spans="1:24" ht="35.25" customHeight="1" thickBot="1" x14ac:dyDescent="0.25">
      <c r="B582" s="246">
        <v>37204209</v>
      </c>
      <c r="C582" s="1011" t="s">
        <v>603</v>
      </c>
      <c r="D582" s="1011"/>
      <c r="E582" s="287" t="s">
        <v>317</v>
      </c>
      <c r="F582" s="246" t="s">
        <v>475</v>
      </c>
      <c r="G582" s="1083">
        <f>VLOOKUP(B582,'[1]BD assignatures'!C:D,2,FALSE)</f>
        <v>28</v>
      </c>
      <c r="H582" s="1083"/>
      <c r="I582" s="1082" t="s">
        <v>476</v>
      </c>
      <c r="J582" s="1082"/>
      <c r="K582" s="286">
        <f>HLOOKUP(B582,'[1]BD assignatures'!$X$34:$DS$42,3,FALSE)</f>
        <v>8</v>
      </c>
      <c r="L582" s="254">
        <f t="shared" si="12"/>
        <v>0.2857142857142857</v>
      </c>
      <c r="M582" s="286">
        <f>HLOOKUP(B582,'[1]BD assignatures'!$X$34:$DS$42,6,FALSE)</f>
        <v>0</v>
      </c>
      <c r="N582" s="254">
        <f t="shared" si="13"/>
        <v>0</v>
      </c>
      <c r="O582" s="286">
        <f>HLOOKUP(B582,'[1]BD assignatures'!$X$34:$DS$42,7,FALSE)</f>
        <v>17</v>
      </c>
      <c r="P582" s="254">
        <f t="shared" si="14"/>
        <v>0.6071428571428571</v>
      </c>
      <c r="Q582" s="286">
        <f>HLOOKUP(B582,'[1]BD assignatures'!$X$34:$DS$42,9,FALSE)</f>
        <v>0</v>
      </c>
      <c r="R582" s="254">
        <f t="shared" si="15"/>
        <v>0</v>
      </c>
      <c r="S582" s="286">
        <f>HLOOKUP(B582,'[1]BD assignatures'!$X$34:$DS$42,4,FALSE)</f>
        <v>3</v>
      </c>
      <c r="T582" s="254">
        <f t="shared" si="16"/>
        <v>0.10714285714285714</v>
      </c>
      <c r="U582" s="286">
        <f>HLOOKUP(B582,'[1]BD assignatures'!$X$34:$DS$42,5,FALSE)</f>
        <v>0</v>
      </c>
      <c r="V582" s="254">
        <f t="shared" si="17"/>
        <v>0</v>
      </c>
      <c r="X582" s="651">
        <f t="shared" si="18"/>
        <v>0</v>
      </c>
    </row>
    <row r="583" spans="1:24" ht="25.5" customHeight="1" thickBot="1" x14ac:dyDescent="0.25">
      <c r="B583" s="289">
        <v>37204206</v>
      </c>
      <c r="C583" s="999" t="s">
        <v>605</v>
      </c>
      <c r="D583" s="999"/>
      <c r="E583" s="290" t="s">
        <v>317</v>
      </c>
      <c r="F583" s="289" t="s">
        <v>475</v>
      </c>
      <c r="G583" s="1083">
        <f>VLOOKUP(B583,'[1]BD assignatures'!C:D,2,FALSE)</f>
        <v>14</v>
      </c>
      <c r="H583" s="1083"/>
      <c r="I583" s="1138" t="s">
        <v>476</v>
      </c>
      <c r="J583" s="1138"/>
      <c r="K583" s="286">
        <f>HLOOKUP(B583,'[1]BD assignatures'!$X$34:$DS$42,3,FALSE)</f>
        <v>2</v>
      </c>
      <c r="L583" s="254">
        <f t="shared" si="12"/>
        <v>0.14285714285714285</v>
      </c>
      <c r="M583" s="286">
        <f>HLOOKUP(B583,'[1]BD assignatures'!$X$34:$DS$42,6,FALSE)</f>
        <v>0</v>
      </c>
      <c r="N583" s="254">
        <f t="shared" si="13"/>
        <v>0</v>
      </c>
      <c r="O583" s="286">
        <f>HLOOKUP(B583,'[1]BD assignatures'!$X$34:$DS$42,7,FALSE)</f>
        <v>10</v>
      </c>
      <c r="P583" s="254">
        <f t="shared" si="14"/>
        <v>0.7142857142857143</v>
      </c>
      <c r="Q583" s="286">
        <f>HLOOKUP(B583,'[1]BD assignatures'!$X$34:$DS$42,9,FALSE)</f>
        <v>2</v>
      </c>
      <c r="R583" s="254">
        <f t="shared" si="15"/>
        <v>0.14285714285714285</v>
      </c>
      <c r="S583" s="286">
        <f>HLOOKUP(B583,'[1]BD assignatures'!$X$34:$DS$42,4,FALSE)</f>
        <v>0</v>
      </c>
      <c r="T583" s="254">
        <f t="shared" si="16"/>
        <v>0</v>
      </c>
      <c r="U583" s="286">
        <f>HLOOKUP(B583,'[1]BD assignatures'!$X$34:$DS$42,5,FALSE)</f>
        <v>0</v>
      </c>
      <c r="V583" s="254">
        <f t="shared" si="17"/>
        <v>0</v>
      </c>
      <c r="X583" s="651">
        <f t="shared" si="18"/>
        <v>0</v>
      </c>
    </row>
    <row r="584" spans="1:24" ht="25.5" customHeight="1" thickBot="1" x14ac:dyDescent="0.25">
      <c r="B584" s="289">
        <v>37204226</v>
      </c>
      <c r="C584" s="999" t="s">
        <v>926</v>
      </c>
      <c r="D584" s="999"/>
      <c r="E584" s="290" t="s">
        <v>317</v>
      </c>
      <c r="F584" s="289" t="s">
        <v>475</v>
      </c>
      <c r="G584" s="1083">
        <f>VLOOKUP(B584,'[1]BD assignatures'!C:D,2,FALSE)</f>
        <v>27</v>
      </c>
      <c r="H584" s="1083"/>
      <c r="I584" s="1138" t="s">
        <v>476</v>
      </c>
      <c r="J584" s="1138"/>
      <c r="K584" s="286">
        <f>HLOOKUP(B584,'[1]BD assignatures'!$X$34:$DS$42,3,FALSE)</f>
        <v>11</v>
      </c>
      <c r="L584" s="254">
        <f t="shared" si="12"/>
        <v>0.40740740740740738</v>
      </c>
      <c r="M584" s="286">
        <f>HLOOKUP(B584,'[1]BD assignatures'!$X$34:$DS$42,6,FALSE)</f>
        <v>0</v>
      </c>
      <c r="N584" s="254">
        <f t="shared" si="13"/>
        <v>0</v>
      </c>
      <c r="O584" s="286">
        <f>HLOOKUP(B584,'[1]BD assignatures'!$X$34:$DS$42,7,FALSE)</f>
        <v>16</v>
      </c>
      <c r="P584" s="254">
        <f t="shared" si="14"/>
        <v>0.59259259259259256</v>
      </c>
      <c r="Q584" s="286">
        <f>HLOOKUP(B584,'[1]BD assignatures'!$X$34:$DS$42,9,FALSE)</f>
        <v>0</v>
      </c>
      <c r="R584" s="254">
        <f t="shared" si="15"/>
        <v>0</v>
      </c>
      <c r="S584" s="286">
        <f>HLOOKUP(B584,'[1]BD assignatures'!$X$34:$DS$42,4,FALSE)</f>
        <v>0</v>
      </c>
      <c r="T584" s="254">
        <f t="shared" si="16"/>
        <v>0</v>
      </c>
      <c r="U584" s="286">
        <f>HLOOKUP(B584,'[1]BD assignatures'!$X$34:$DS$42,5,FALSE)</f>
        <v>0</v>
      </c>
      <c r="V584" s="254">
        <f t="shared" si="17"/>
        <v>0</v>
      </c>
      <c r="X584" s="651">
        <f t="shared" si="18"/>
        <v>0</v>
      </c>
    </row>
    <row r="585" spans="1:24" ht="22.5" customHeight="1" thickBot="1" x14ac:dyDescent="0.25">
      <c r="B585" s="269">
        <v>37204225</v>
      </c>
      <c r="C585" s="998" t="s">
        <v>927</v>
      </c>
      <c r="D585" s="998"/>
      <c r="E585" s="288" t="s">
        <v>317</v>
      </c>
      <c r="F585" s="269" t="s">
        <v>475</v>
      </c>
      <c r="G585" s="1112">
        <f>VLOOKUP(B585,'[1]BD assignatures'!C:D,2,FALSE)</f>
        <v>31</v>
      </c>
      <c r="H585" s="1112"/>
      <c r="I585" s="1112" t="s">
        <v>476</v>
      </c>
      <c r="J585" s="1112"/>
      <c r="K585" s="286">
        <f>HLOOKUP(B585,'[1]BD assignatures'!$X$34:$DS$42,3,FALSE)</f>
        <v>6</v>
      </c>
      <c r="L585" s="469">
        <f t="shared" si="12"/>
        <v>0.19354838709677419</v>
      </c>
      <c r="M585" s="286">
        <f>HLOOKUP(B585,'[1]BD assignatures'!$X$34:$DS$42,6,FALSE)</f>
        <v>0</v>
      </c>
      <c r="N585" s="469">
        <f t="shared" si="13"/>
        <v>0</v>
      </c>
      <c r="O585" s="286">
        <f>HLOOKUP(B585,'[1]BD assignatures'!$X$34:$DS$42,7,FALSE)</f>
        <v>20</v>
      </c>
      <c r="P585" s="469">
        <f t="shared" si="14"/>
        <v>0.64516129032258063</v>
      </c>
      <c r="Q585" s="286">
        <f>HLOOKUP(B585,'[1]BD assignatures'!$X$34:$DS$42,9,FALSE)</f>
        <v>0</v>
      </c>
      <c r="R585" s="469">
        <f t="shared" si="15"/>
        <v>0</v>
      </c>
      <c r="S585" s="286">
        <f>HLOOKUP(B585,'[1]BD assignatures'!$X$34:$DS$42,4,FALSE)</f>
        <v>4</v>
      </c>
      <c r="T585" s="469">
        <f t="shared" si="16"/>
        <v>0.12903225806451613</v>
      </c>
      <c r="U585" s="286">
        <f>HLOOKUP(B585,'[1]BD assignatures'!$X$34:$DS$42,5,FALSE)</f>
        <v>1</v>
      </c>
      <c r="V585" s="469">
        <f t="shared" si="17"/>
        <v>3.2258064516129031E-2</v>
      </c>
      <c r="X585" s="651">
        <f t="shared" si="18"/>
        <v>0</v>
      </c>
    </row>
    <row r="586" spans="1:24" ht="16" thickBot="1" x14ac:dyDescent="0.25">
      <c r="B586" s="33"/>
      <c r="C586" s="1136" t="s">
        <v>504</v>
      </c>
      <c r="D586" s="1136"/>
      <c r="E586" s="244"/>
      <c r="F586" s="244"/>
      <c r="G586" s="1136">
        <f>SUM(G528:G585)</f>
        <v>3005</v>
      </c>
      <c r="H586" s="1136"/>
      <c r="I586" s="33"/>
      <c r="J586" s="33"/>
      <c r="K586" s="633">
        <f>SUM(K528:K585)</f>
        <v>1263</v>
      </c>
      <c r="L586" s="244"/>
      <c r="M586" s="633">
        <f>SUM(M528:M585)</f>
        <v>75</v>
      </c>
      <c r="N586" s="244"/>
      <c r="O586" s="633">
        <f>SUM(O528:O585)</f>
        <v>1055</v>
      </c>
      <c r="P586" s="244"/>
      <c r="Q586" s="633">
        <f>SUM(Q528:Q585)</f>
        <v>361</v>
      </c>
      <c r="R586" s="244"/>
      <c r="S586" s="633">
        <f>SUM(S528:S585)</f>
        <v>236</v>
      </c>
      <c r="T586" s="244"/>
      <c r="U586" s="633">
        <f>SUM(U528:U585)</f>
        <v>15</v>
      </c>
      <c r="V586" s="244"/>
    </row>
    <row r="587" spans="1:24" ht="16" thickBot="1" x14ac:dyDescent="0.25">
      <c r="B587" s="33"/>
      <c r="C587" s="1120" t="s">
        <v>505</v>
      </c>
      <c r="D587" s="1120"/>
      <c r="E587" s="244"/>
      <c r="F587" s="244"/>
      <c r="G587" s="1120">
        <f>SUM(G528:G541)</f>
        <v>985</v>
      </c>
      <c r="H587" s="1120"/>
      <c r="I587" s="33"/>
      <c r="J587" s="33"/>
      <c r="K587" s="633">
        <f>SUM(K528:K541)</f>
        <v>470</v>
      </c>
      <c r="L587" s="244"/>
      <c r="M587" s="632">
        <f>SUM(M528:M541)</f>
        <v>32</v>
      </c>
      <c r="N587" s="244"/>
      <c r="O587" s="632">
        <f>SUM(O528:O541)</f>
        <v>199</v>
      </c>
      <c r="P587" s="244"/>
      <c r="Q587" s="632">
        <f>SUM(Q528:Q541)</f>
        <v>262</v>
      </c>
      <c r="R587" s="244"/>
      <c r="S587" s="632">
        <f>SUM(S528:S541)</f>
        <v>17</v>
      </c>
      <c r="T587" s="244"/>
      <c r="U587" s="632">
        <f>SUM(U528:U541)</f>
        <v>5</v>
      </c>
      <c r="V587" s="244"/>
    </row>
    <row r="588" spans="1:24" x14ac:dyDescent="0.2">
      <c r="B588" s="45" t="s">
        <v>1167</v>
      </c>
    </row>
    <row r="589" spans="1:24" x14ac:dyDescent="0.2">
      <c r="B589" s="45" t="s">
        <v>506</v>
      </c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</row>
    <row r="590" spans="1:24" x14ac:dyDescent="0.2">
      <c r="B590" s="45" t="s">
        <v>507</v>
      </c>
      <c r="C590" s="7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</row>
    <row r="591" spans="1:24" ht="15" customHeight="1" x14ac:dyDescent="0.2">
      <c r="B591" s="33" t="s">
        <v>508</v>
      </c>
      <c r="C591" s="72"/>
      <c r="D591" s="72"/>
      <c r="E591" s="72"/>
      <c r="F591" s="46"/>
      <c r="G591" s="46"/>
      <c r="H591" s="46"/>
      <c r="I591" s="46"/>
    </row>
    <row r="592" spans="1:24" x14ac:dyDescent="0.2">
      <c r="A592" s="33"/>
      <c r="F592" s="46"/>
      <c r="G592" s="46"/>
      <c r="H592" s="46"/>
      <c r="I592" s="46"/>
    </row>
    <row r="593" spans="1:24" x14ac:dyDescent="0.2">
      <c r="A593" s="33"/>
      <c r="B593" s="49"/>
      <c r="C593" s="46"/>
      <c r="D593" s="46"/>
      <c r="E593" s="46"/>
      <c r="F593" s="46"/>
      <c r="G593" s="46"/>
      <c r="H593" s="46"/>
      <c r="I593" s="46"/>
    </row>
    <row r="594" spans="1:24" x14ac:dyDescent="0.2">
      <c r="A594" s="33"/>
      <c r="B594" s="46" t="s">
        <v>843</v>
      </c>
      <c r="C594" s="72"/>
      <c r="D594" s="72"/>
      <c r="E594" s="72"/>
      <c r="F594" s="46"/>
      <c r="G594" s="46"/>
      <c r="H594" s="46"/>
      <c r="I594" s="46"/>
    </row>
    <row r="595" spans="1:24" x14ac:dyDescent="0.2">
      <c r="A595" s="49"/>
      <c r="B595" s="1139" t="s">
        <v>7</v>
      </c>
      <c r="C595" s="1139"/>
      <c r="D595" s="1139"/>
      <c r="E595" s="1139"/>
      <c r="F595" s="1139"/>
      <c r="G595" s="1139"/>
      <c r="N595" s="2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1:24" ht="24" x14ac:dyDescent="0.2">
      <c r="B596" s="741" t="s">
        <v>250</v>
      </c>
      <c r="C596" s="741"/>
      <c r="D596" s="741"/>
      <c r="E596" s="208" t="s">
        <v>463</v>
      </c>
      <c r="F596" s="208" t="s">
        <v>509</v>
      </c>
      <c r="G596" s="208" t="s">
        <v>510</v>
      </c>
    </row>
    <row r="597" spans="1:24" ht="21.75" customHeight="1" thickBot="1" x14ac:dyDescent="0.25">
      <c r="B597" s="1011" t="s">
        <v>474</v>
      </c>
      <c r="C597" s="1011"/>
      <c r="D597" s="1011"/>
      <c r="E597" s="253" t="s">
        <v>261</v>
      </c>
      <c r="F597" s="717">
        <f>SUM(K484,O484,S484,U484)/(G484-M484)</f>
        <v>0.58571428571428574</v>
      </c>
      <c r="G597" s="717">
        <f>SUM(K484,O484,S484,U484)/G484</f>
        <v>0.57746478873239437</v>
      </c>
      <c r="I597" s="692"/>
      <c r="J597" s="692"/>
      <c r="L597" s="718"/>
      <c r="M597" s="718"/>
    </row>
    <row r="598" spans="1:24" ht="21.75" customHeight="1" thickBot="1" x14ac:dyDescent="0.25">
      <c r="B598" s="1011" t="s">
        <v>477</v>
      </c>
      <c r="C598" s="1011"/>
      <c r="D598" s="1011"/>
      <c r="E598" s="247" t="s">
        <v>261</v>
      </c>
      <c r="F598" s="717">
        <f>SUM(K485,O485,S485,U485)/(G485-M485)</f>
        <v>0.9107142857142857</v>
      </c>
      <c r="G598" s="717">
        <f>SUM(K485,O485,S485,U485)/G485</f>
        <v>0.7846153846153846</v>
      </c>
      <c r="I598" s="692"/>
      <c r="J598" s="692"/>
      <c r="L598" s="718"/>
      <c r="M598" s="718"/>
    </row>
    <row r="599" spans="1:24" ht="15.75" customHeight="1" thickBot="1" x14ac:dyDescent="0.25">
      <c r="B599" s="1011" t="s">
        <v>285</v>
      </c>
      <c r="C599" s="1011"/>
      <c r="D599" s="1011"/>
      <c r="E599" s="247" t="s">
        <v>284</v>
      </c>
      <c r="F599" s="717">
        <f>SUM(K486,O486,S486,U486)/(G486-M486)</f>
        <v>0.92592592592592593</v>
      </c>
      <c r="G599" s="717">
        <f t="shared" ref="G599:G628" si="19">SUM(K486,O486,S486,U486)/G486</f>
        <v>0.83333333333333337</v>
      </c>
      <c r="I599" s="692"/>
      <c r="J599" s="692"/>
      <c r="L599" s="718"/>
      <c r="M599" s="718"/>
    </row>
    <row r="600" spans="1:24" ht="15.75" customHeight="1" thickBot="1" x14ac:dyDescent="0.25">
      <c r="B600" s="1011" t="s">
        <v>546</v>
      </c>
      <c r="C600" s="1011"/>
      <c r="D600" s="1011"/>
      <c r="E600" s="247" t="s">
        <v>284</v>
      </c>
      <c r="F600" s="717">
        <f t="shared" ref="F600:F628" si="20">SUM(K487,O487,S487,U487)/(G487-M487)</f>
        <v>0.79365079365079361</v>
      </c>
      <c r="G600" s="717">
        <f>SUM(K487,O487,S487,U487)/G487</f>
        <v>0.73529411764705888</v>
      </c>
      <c r="I600" s="692"/>
      <c r="J600" s="692"/>
      <c r="L600" s="718"/>
      <c r="M600" s="718"/>
    </row>
    <row r="601" spans="1:24" ht="15.75" customHeight="1" thickBot="1" x14ac:dyDescent="0.25">
      <c r="B601" s="1011" t="s">
        <v>479</v>
      </c>
      <c r="C601" s="1011"/>
      <c r="D601" s="1011"/>
      <c r="E601" s="247" t="s">
        <v>284</v>
      </c>
      <c r="F601" s="717">
        <f>SUM(K488,O488,S488,U488)/(G488-M488)</f>
        <v>0.85</v>
      </c>
      <c r="G601" s="717">
        <f>SUM(K488,O488,S488,U488)/G488</f>
        <v>0.72340425531914898</v>
      </c>
      <c r="I601" s="692"/>
      <c r="J601" s="692"/>
      <c r="L601" s="718"/>
      <c r="M601" s="718"/>
    </row>
    <row r="602" spans="1:24" ht="25" thickBot="1" x14ac:dyDescent="0.25">
      <c r="B602" s="1011" t="s">
        <v>480</v>
      </c>
      <c r="C602" s="1011"/>
      <c r="D602" s="1011"/>
      <c r="E602" s="247" t="s">
        <v>261</v>
      </c>
      <c r="F602" s="717">
        <f t="shared" si="20"/>
        <v>0.625</v>
      </c>
      <c r="G602" s="717">
        <f>SUM(K489,O489,S489,U489)/G489</f>
        <v>0.59139784946236562</v>
      </c>
      <c r="I602" s="692"/>
      <c r="J602" s="692"/>
      <c r="L602" s="718"/>
      <c r="M602" s="718"/>
    </row>
    <row r="603" spans="1:24" ht="28.5" customHeight="1" thickBot="1" x14ac:dyDescent="0.25">
      <c r="B603" s="1011" t="s">
        <v>481</v>
      </c>
      <c r="C603" s="1011"/>
      <c r="D603" s="1011"/>
      <c r="E603" s="247" t="s">
        <v>261</v>
      </c>
      <c r="F603" s="717">
        <f t="shared" ref="F603:F608" si="21">SUM(K490,O490,S490,U490)/(G490-M490)</f>
        <v>0.88732394366197187</v>
      </c>
      <c r="G603" s="717">
        <f t="shared" si="19"/>
        <v>0.875</v>
      </c>
      <c r="I603" s="692"/>
      <c r="J603" s="692"/>
      <c r="L603" s="718"/>
      <c r="M603" s="718"/>
    </row>
    <row r="604" spans="1:24" ht="15.75" customHeight="1" thickBot="1" x14ac:dyDescent="0.25">
      <c r="B604" s="1011" t="s">
        <v>482</v>
      </c>
      <c r="C604" s="1011"/>
      <c r="D604" s="1011"/>
      <c r="E604" s="247" t="s">
        <v>284</v>
      </c>
      <c r="F604" s="717">
        <f t="shared" si="21"/>
        <v>0.86764705882352944</v>
      </c>
      <c r="G604" s="717">
        <f>SUM(K491,O491,S491,U491)/G491</f>
        <v>0.86764705882352944</v>
      </c>
      <c r="I604" s="692"/>
      <c r="J604" s="692"/>
      <c r="L604" s="718"/>
      <c r="M604" s="718"/>
    </row>
    <row r="605" spans="1:24" ht="25" thickBot="1" x14ac:dyDescent="0.25">
      <c r="B605" s="1011" t="s">
        <v>483</v>
      </c>
      <c r="C605" s="1011"/>
      <c r="D605" s="1011"/>
      <c r="E605" s="247" t="s">
        <v>261</v>
      </c>
      <c r="F605" s="717">
        <f t="shared" si="21"/>
        <v>0.96923076923076923</v>
      </c>
      <c r="G605" s="717">
        <f>SUM(K492,O492,S492,U492)/G492</f>
        <v>0.96923076923076923</v>
      </c>
      <c r="I605" s="692"/>
      <c r="J605" s="692"/>
      <c r="L605" s="718"/>
      <c r="M605" s="718"/>
    </row>
    <row r="606" spans="1:24" ht="25" thickBot="1" x14ac:dyDescent="0.25">
      <c r="B606" s="1011" t="s">
        <v>1134</v>
      </c>
      <c r="C606" s="1011"/>
      <c r="D606" s="1011"/>
      <c r="E606" s="247" t="s">
        <v>261</v>
      </c>
      <c r="F606" s="717">
        <f t="shared" si="21"/>
        <v>0.36538461538461536</v>
      </c>
      <c r="G606" s="717">
        <f>SUM(K493,O493,S493,U493)/G493</f>
        <v>0.31147540983606559</v>
      </c>
      <c r="I606" s="692"/>
      <c r="J606" s="692"/>
      <c r="L606" s="718"/>
      <c r="M606" s="718"/>
    </row>
    <row r="607" spans="1:24" ht="21.75" customHeight="1" thickBot="1" x14ac:dyDescent="0.25">
      <c r="B607" s="1011" t="s">
        <v>485</v>
      </c>
      <c r="C607" s="1011"/>
      <c r="D607" s="1011"/>
      <c r="E607" s="247" t="s">
        <v>261</v>
      </c>
      <c r="F607" s="717">
        <f t="shared" si="21"/>
        <v>0.89393939393939392</v>
      </c>
      <c r="G607" s="717">
        <f>SUM(K494,O494,S494,U494)/G494</f>
        <v>0.83098591549295775</v>
      </c>
      <c r="I607" s="692"/>
      <c r="J607" s="692"/>
      <c r="L607" s="718"/>
      <c r="M607" s="718"/>
    </row>
    <row r="608" spans="1:24" ht="21.75" customHeight="1" thickBot="1" x14ac:dyDescent="0.25">
      <c r="B608" s="1011" t="s">
        <v>486</v>
      </c>
      <c r="C608" s="1011"/>
      <c r="D608" s="1011"/>
      <c r="E608" s="247" t="s">
        <v>261</v>
      </c>
      <c r="F608" s="717">
        <f t="shared" si="21"/>
        <v>0.94444444444444442</v>
      </c>
      <c r="G608" s="717">
        <f t="shared" si="19"/>
        <v>0.94444444444444442</v>
      </c>
      <c r="I608" s="692"/>
      <c r="J608" s="692"/>
      <c r="L608" s="718"/>
      <c r="M608" s="718"/>
    </row>
    <row r="609" spans="2:13" ht="21.75" customHeight="1" thickBot="1" x14ac:dyDescent="0.25">
      <c r="B609" s="1011" t="s">
        <v>487</v>
      </c>
      <c r="C609" s="1011"/>
      <c r="D609" s="1011"/>
      <c r="E609" s="247" t="s">
        <v>261</v>
      </c>
      <c r="F609" s="717">
        <f t="shared" si="20"/>
        <v>0.88</v>
      </c>
      <c r="G609" s="717">
        <f t="shared" si="19"/>
        <v>0.88</v>
      </c>
      <c r="I609" s="692"/>
      <c r="J609" s="692"/>
      <c r="L609" s="718"/>
      <c r="M609" s="718"/>
    </row>
    <row r="610" spans="2:13" ht="15.75" customHeight="1" thickBot="1" x14ac:dyDescent="0.25">
      <c r="B610" s="1011" t="s">
        <v>488</v>
      </c>
      <c r="C610" s="1011"/>
      <c r="D610" s="1011"/>
      <c r="E610" s="247" t="s">
        <v>284</v>
      </c>
      <c r="F610" s="717">
        <f>SUM(K497,O497,S497,U497)/(G497-M497)</f>
        <v>0.98113207547169812</v>
      </c>
      <c r="G610" s="717">
        <f>SUM(K497,O497,S497,U497)/G497</f>
        <v>0.96296296296296291</v>
      </c>
      <c r="I610" s="692"/>
      <c r="J610" s="692"/>
      <c r="L610" s="718"/>
      <c r="M610" s="718"/>
    </row>
    <row r="611" spans="2:13" ht="15.75" customHeight="1" thickBot="1" x14ac:dyDescent="0.25">
      <c r="B611" s="1011" t="s">
        <v>489</v>
      </c>
      <c r="C611" s="1011"/>
      <c r="D611" s="1011"/>
      <c r="E611" s="247" t="s">
        <v>284</v>
      </c>
      <c r="F611" s="717">
        <f>SUM(K498,O498,S498,U498)/(G498-M498)</f>
        <v>1</v>
      </c>
      <c r="G611" s="717">
        <f t="shared" si="19"/>
        <v>1</v>
      </c>
      <c r="I611" s="692"/>
      <c r="J611" s="692"/>
      <c r="L611" s="718"/>
      <c r="M611" s="718"/>
    </row>
    <row r="612" spans="2:13" ht="15.75" customHeight="1" thickBot="1" x14ac:dyDescent="0.25">
      <c r="B612" s="1011" t="s">
        <v>490</v>
      </c>
      <c r="C612" s="1011"/>
      <c r="D612" s="1011"/>
      <c r="E612" s="247" t="s">
        <v>284</v>
      </c>
      <c r="F612" s="717">
        <f t="shared" si="20"/>
        <v>0.4861111111111111</v>
      </c>
      <c r="G612" s="717">
        <f t="shared" si="19"/>
        <v>0.4861111111111111</v>
      </c>
      <c r="I612" s="692"/>
      <c r="J612" s="692"/>
      <c r="L612" s="718"/>
      <c r="M612" s="718"/>
    </row>
    <row r="613" spans="2:13" ht="21.75" customHeight="1" thickBot="1" x14ac:dyDescent="0.25">
      <c r="B613" s="1011" t="s">
        <v>491</v>
      </c>
      <c r="C613" s="1011"/>
      <c r="D613" s="1011"/>
      <c r="E613" s="247" t="s">
        <v>261</v>
      </c>
      <c r="F613" s="717">
        <f t="shared" si="20"/>
        <v>0.72131147540983609</v>
      </c>
      <c r="G613" s="717">
        <f>SUM(K500,O500,S500,U500)/G500</f>
        <v>0.70967741935483875</v>
      </c>
      <c r="I613" s="692"/>
      <c r="J613" s="692"/>
      <c r="L613" s="718"/>
      <c r="M613" s="718"/>
    </row>
    <row r="614" spans="2:13" ht="27" customHeight="1" thickBot="1" x14ac:dyDescent="0.25">
      <c r="B614" s="1011" t="s">
        <v>492</v>
      </c>
      <c r="C614" s="1011"/>
      <c r="D614" s="1011"/>
      <c r="E614" s="247" t="s">
        <v>284</v>
      </c>
      <c r="F614" s="717">
        <f t="shared" si="20"/>
        <v>0.95652173913043481</v>
      </c>
      <c r="G614" s="717">
        <f>SUM(K501,O501,S501,U501)/G501</f>
        <v>0.91666666666666663</v>
      </c>
      <c r="I614" s="692"/>
      <c r="J614" s="692"/>
      <c r="L614" s="718"/>
      <c r="M614" s="718"/>
    </row>
    <row r="615" spans="2:13" ht="15.75" customHeight="1" thickBot="1" x14ac:dyDescent="0.25">
      <c r="B615" s="1011" t="s">
        <v>493</v>
      </c>
      <c r="C615" s="1011"/>
      <c r="D615" s="1011"/>
      <c r="E615" s="247" t="s">
        <v>284</v>
      </c>
      <c r="F615" s="717">
        <f t="shared" si="20"/>
        <v>1</v>
      </c>
      <c r="G615" s="717">
        <f t="shared" si="19"/>
        <v>1</v>
      </c>
      <c r="I615" s="692"/>
      <c r="J615" s="692"/>
      <c r="L615" s="718"/>
      <c r="M615" s="718"/>
    </row>
    <row r="616" spans="2:13" ht="15.75" customHeight="1" thickBot="1" x14ac:dyDescent="0.25">
      <c r="B616" s="1011" t="s">
        <v>296</v>
      </c>
      <c r="C616" s="1011"/>
      <c r="D616" s="1011"/>
      <c r="E616" s="247" t="s">
        <v>284</v>
      </c>
      <c r="F616" s="717">
        <f t="shared" si="20"/>
        <v>0.967741935483871</v>
      </c>
      <c r="G616" s="717">
        <f t="shared" si="19"/>
        <v>0.9375</v>
      </c>
      <c r="I616" s="692"/>
      <c r="J616" s="692"/>
      <c r="L616" s="718"/>
      <c r="M616" s="718"/>
    </row>
    <row r="617" spans="2:13" ht="15.75" customHeight="1" thickBot="1" x14ac:dyDescent="0.25">
      <c r="B617" s="1011" t="s">
        <v>494</v>
      </c>
      <c r="C617" s="1011"/>
      <c r="D617" s="1011"/>
      <c r="E617" s="247" t="s">
        <v>284</v>
      </c>
      <c r="F617" s="717">
        <f>SUM(K504,O504,S504,U504)/(G504-M504)</f>
        <v>1</v>
      </c>
      <c r="G617" s="717">
        <f t="shared" si="19"/>
        <v>1</v>
      </c>
      <c r="I617" s="692"/>
      <c r="J617" s="692"/>
      <c r="L617" s="718"/>
      <c r="M617" s="718"/>
    </row>
    <row r="618" spans="2:13" ht="24" customHeight="1" thickBot="1" x14ac:dyDescent="0.25">
      <c r="B618" s="1011" t="s">
        <v>495</v>
      </c>
      <c r="C618" s="1011"/>
      <c r="D618" s="1011"/>
      <c r="E618" s="247" t="s">
        <v>284</v>
      </c>
      <c r="F618" s="717">
        <f>SUM(K505,O505,S505,U505)/(G505-M505)</f>
        <v>0.95833333333333337</v>
      </c>
      <c r="G618" s="717">
        <f t="shared" si="19"/>
        <v>0.92</v>
      </c>
      <c r="I618" s="692"/>
      <c r="J618" s="692"/>
      <c r="L618" s="718"/>
      <c r="M618" s="718"/>
    </row>
    <row r="619" spans="2:13" ht="15.75" customHeight="1" thickBot="1" x14ac:dyDescent="0.25">
      <c r="B619" s="1011" t="s">
        <v>303</v>
      </c>
      <c r="C619" s="1011"/>
      <c r="D619" s="1011"/>
      <c r="E619" s="247" t="s">
        <v>284</v>
      </c>
      <c r="F619" s="717">
        <f>SUM(K506,O506,S506,U506)/(G506-M506)</f>
        <v>1</v>
      </c>
      <c r="G619" s="717">
        <f>SUM(K506,O506,S506,U506)/G506</f>
        <v>0.91304347826086951</v>
      </c>
      <c r="I619" s="692"/>
      <c r="J619" s="692"/>
      <c r="L619" s="718"/>
      <c r="M619" s="718"/>
    </row>
    <row r="620" spans="2:13" ht="25.5" customHeight="1" thickBot="1" x14ac:dyDescent="0.25">
      <c r="B620" s="1011" t="s">
        <v>496</v>
      </c>
      <c r="C620" s="1011"/>
      <c r="D620" s="1011"/>
      <c r="E620" s="247" t="s">
        <v>284</v>
      </c>
      <c r="F620" s="717">
        <f>SUM(K507,O507,S507,U507)/(G507-M507)</f>
        <v>0.95652173913043481</v>
      </c>
      <c r="G620" s="717">
        <f>SUM(K507,O507,S507,U507)/G507</f>
        <v>0.91666666666666663</v>
      </c>
      <c r="I620" s="692"/>
      <c r="J620" s="692"/>
      <c r="L620" s="718"/>
      <c r="M620" s="718"/>
    </row>
    <row r="621" spans="2:13" ht="22.5" customHeight="1" thickBot="1" x14ac:dyDescent="0.25">
      <c r="B621" s="1011" t="s">
        <v>308</v>
      </c>
      <c r="C621" s="1011"/>
      <c r="D621" s="1011"/>
      <c r="E621" s="247" t="s">
        <v>284</v>
      </c>
      <c r="F621" s="717">
        <f t="shared" si="20"/>
        <v>1</v>
      </c>
      <c r="G621" s="717">
        <f t="shared" si="19"/>
        <v>1</v>
      </c>
      <c r="I621" s="692"/>
      <c r="J621" s="692"/>
      <c r="L621" s="718"/>
      <c r="M621" s="718"/>
    </row>
    <row r="622" spans="2:13" ht="15.75" customHeight="1" thickBot="1" x14ac:dyDescent="0.25">
      <c r="B622" s="1011" t="s">
        <v>309</v>
      </c>
      <c r="C622" s="1011"/>
      <c r="D622" s="1011"/>
      <c r="E622" s="247" t="s">
        <v>284</v>
      </c>
      <c r="F622" s="717">
        <f>SUM(K509,O509,S509,U509)/(G509-M509)</f>
        <v>1</v>
      </c>
      <c r="G622" s="717">
        <f t="shared" si="19"/>
        <v>0.95833333333333337</v>
      </c>
      <c r="I622" s="692"/>
      <c r="J622" s="692"/>
      <c r="L622" s="718"/>
      <c r="M622" s="718"/>
    </row>
    <row r="623" spans="2:13" ht="22.5" customHeight="1" thickBot="1" x14ac:dyDescent="0.25">
      <c r="B623" s="1011" t="s">
        <v>497</v>
      </c>
      <c r="C623" s="1011"/>
      <c r="D623" s="1011"/>
      <c r="E623" s="247" t="s">
        <v>284</v>
      </c>
      <c r="F623" s="717">
        <f t="shared" si="20"/>
        <v>1</v>
      </c>
      <c r="G623" s="717">
        <f t="shared" si="19"/>
        <v>1</v>
      </c>
      <c r="I623" s="692"/>
      <c r="J623" s="692"/>
      <c r="L623" s="718"/>
      <c r="M623" s="718"/>
    </row>
    <row r="624" spans="2:13" ht="15.75" customHeight="1" thickBot="1" x14ac:dyDescent="0.25">
      <c r="B624" s="1011" t="s">
        <v>299</v>
      </c>
      <c r="C624" s="1011"/>
      <c r="D624" s="1011"/>
      <c r="E624" s="247" t="s">
        <v>284</v>
      </c>
      <c r="F624" s="717">
        <f t="shared" si="20"/>
        <v>0.86956521739130432</v>
      </c>
      <c r="G624" s="717">
        <f t="shared" si="19"/>
        <v>0.83333333333333337</v>
      </c>
      <c r="I624" s="692"/>
      <c r="J624" s="692"/>
      <c r="L624" s="718"/>
      <c r="M624" s="718"/>
    </row>
    <row r="625" spans="2:13" ht="15.75" customHeight="1" thickBot="1" x14ac:dyDescent="0.25">
      <c r="B625" s="1011" t="s">
        <v>305</v>
      </c>
      <c r="C625" s="1011"/>
      <c r="D625" s="1011"/>
      <c r="E625" s="247" t="s">
        <v>284</v>
      </c>
      <c r="F625" s="717">
        <f t="shared" si="20"/>
        <v>1</v>
      </c>
      <c r="G625" s="717">
        <f>SUM(K512,O512,S512,U512)/G512</f>
        <v>1</v>
      </c>
      <c r="I625" s="692"/>
      <c r="J625" s="692"/>
      <c r="L625" s="718"/>
      <c r="M625" s="718"/>
    </row>
    <row r="626" spans="2:13" ht="15.75" customHeight="1" thickBot="1" x14ac:dyDescent="0.25">
      <c r="B626" s="1011" t="s">
        <v>312</v>
      </c>
      <c r="C626" s="1011"/>
      <c r="D626" s="1011"/>
      <c r="E626" s="247" t="s">
        <v>284</v>
      </c>
      <c r="F626" s="717">
        <f>SUM(K513,O513,S513,U513)/(G513-M513)</f>
        <v>1</v>
      </c>
      <c r="G626" s="717">
        <f>SUM(K513,O513,S513,U513)/G513</f>
        <v>1</v>
      </c>
      <c r="I626" s="692"/>
      <c r="J626" s="692"/>
      <c r="L626" s="718"/>
      <c r="M626" s="718"/>
    </row>
    <row r="627" spans="2:13" ht="25.5" customHeight="1" thickBot="1" x14ac:dyDescent="0.25">
      <c r="B627" s="1011" t="s">
        <v>498</v>
      </c>
      <c r="C627" s="1011"/>
      <c r="D627" s="1011"/>
      <c r="E627" s="247" t="s">
        <v>284</v>
      </c>
      <c r="F627" s="717">
        <f>SUM(K514,O514,S514,U514)/(G514-M514)</f>
        <v>1</v>
      </c>
      <c r="G627" s="717">
        <f>SUM(K514,O514,S514,U514)/G514</f>
        <v>0.94736842105263153</v>
      </c>
      <c r="I627" s="692"/>
      <c r="J627" s="692"/>
      <c r="L627" s="718"/>
      <c r="M627" s="718"/>
    </row>
    <row r="628" spans="2:13" ht="24" customHeight="1" thickBot="1" x14ac:dyDescent="0.25">
      <c r="B628" s="1011" t="s">
        <v>499</v>
      </c>
      <c r="C628" s="1011"/>
      <c r="D628" s="1011"/>
      <c r="E628" s="247" t="s">
        <v>317</v>
      </c>
      <c r="F628" s="717">
        <f t="shared" si="20"/>
        <v>0.875</v>
      </c>
      <c r="G628" s="717">
        <f t="shared" si="19"/>
        <v>0.875</v>
      </c>
      <c r="I628" s="692"/>
      <c r="J628" s="692"/>
      <c r="L628" s="718"/>
      <c r="M628" s="718"/>
    </row>
    <row r="629" spans="2:13" ht="24.75" customHeight="1" thickBot="1" x14ac:dyDescent="0.25">
      <c r="B629" s="1011" t="s">
        <v>500</v>
      </c>
      <c r="C629" s="1011"/>
      <c r="D629" s="1011"/>
      <c r="E629" s="247" t="s">
        <v>317</v>
      </c>
      <c r="F629" s="717">
        <f>SUM(K516,O516,S516,U516)/(G516-M516)</f>
        <v>1</v>
      </c>
      <c r="G629" s="717">
        <f>SUM(K516,O516,S516,U516)/G516</f>
        <v>1</v>
      </c>
      <c r="I629" s="692"/>
      <c r="J629" s="692"/>
      <c r="L629" s="718"/>
      <c r="M629" s="718"/>
    </row>
    <row r="630" spans="2:13" ht="23.25" customHeight="1" thickBot="1" x14ac:dyDescent="0.25">
      <c r="B630" s="1011" t="s">
        <v>1482</v>
      </c>
      <c r="C630" s="1011"/>
      <c r="D630" s="1011"/>
      <c r="E630" s="247" t="s">
        <v>317</v>
      </c>
      <c r="F630" s="717">
        <f>SUM(K517,O517,S517,U517)/(G517-M517)</f>
        <v>1</v>
      </c>
      <c r="G630" s="717">
        <f t="shared" ref="G630:G631" si="22">SUM(K517,O517,S517,U517)/G517</f>
        <v>1</v>
      </c>
      <c r="I630" s="692"/>
      <c r="J630" s="692"/>
      <c r="L630" s="718"/>
      <c r="M630" s="718"/>
    </row>
    <row r="631" spans="2:13" ht="23.25" customHeight="1" thickBot="1" x14ac:dyDescent="0.25">
      <c r="B631" s="1011" t="s">
        <v>501</v>
      </c>
      <c r="C631" s="1011"/>
      <c r="D631" s="1011"/>
      <c r="E631" s="247" t="s">
        <v>317</v>
      </c>
      <c r="F631" s="717">
        <f>SUM(K518,O518,S518,U518)/(G518-M518)</f>
        <v>1</v>
      </c>
      <c r="G631" s="717">
        <f t="shared" si="22"/>
        <v>1</v>
      </c>
      <c r="I631" s="692"/>
      <c r="J631" s="692"/>
      <c r="L631" s="718"/>
      <c r="M631" s="718"/>
    </row>
    <row r="632" spans="2:13" ht="15.75" customHeight="1" thickBot="1" x14ac:dyDescent="0.25">
      <c r="B632" s="1011" t="s">
        <v>320</v>
      </c>
      <c r="C632" s="1011"/>
      <c r="D632" s="1011"/>
      <c r="E632" s="247" t="s">
        <v>284</v>
      </c>
      <c r="F632" s="717">
        <f>SUM(K519,O519,S519,U519)/(G519-M519)</f>
        <v>1</v>
      </c>
      <c r="G632" s="717">
        <f>SUM(K519,O519,S519,U519)/G519</f>
        <v>1</v>
      </c>
      <c r="I632" s="692"/>
      <c r="J632" s="692"/>
      <c r="L632" s="718"/>
      <c r="M632" s="718"/>
    </row>
    <row r="633" spans="2:13" ht="15.75" customHeight="1" thickBot="1" x14ac:dyDescent="0.25">
      <c r="B633" s="1140" t="s">
        <v>503</v>
      </c>
      <c r="C633" s="1140"/>
      <c r="D633" s="1140"/>
      <c r="E633" s="250" t="s">
        <v>284</v>
      </c>
      <c r="F633" s="606">
        <f>SUM(K520,O520,S520,U520)/(G520-M520)</f>
        <v>1</v>
      </c>
      <c r="G633" s="606">
        <f>SUM(K520,O520,S520,U520)/G520</f>
        <v>0.75</v>
      </c>
      <c r="I633" s="692"/>
      <c r="J633" s="692"/>
      <c r="L633" s="718"/>
      <c r="M633" s="718"/>
    </row>
    <row r="634" spans="2:13" x14ac:dyDescent="0.2">
      <c r="B634" s="63"/>
      <c r="C634" s="64"/>
      <c r="D634" s="65"/>
      <c r="E634" s="65"/>
      <c r="F634" s="66"/>
    </row>
    <row r="635" spans="2:13" x14ac:dyDescent="0.2">
      <c r="B635" s="1139" t="s">
        <v>8</v>
      </c>
      <c r="C635" s="1139"/>
      <c r="D635" s="1139"/>
      <c r="E635" s="1139"/>
      <c r="F635" s="1139"/>
      <c r="G635" s="1139"/>
    </row>
    <row r="636" spans="2:13" ht="24" x14ac:dyDescent="0.2">
      <c r="B636" s="741" t="s">
        <v>250</v>
      </c>
      <c r="C636" s="741"/>
      <c r="D636" s="741"/>
      <c r="E636" s="208" t="s">
        <v>463</v>
      </c>
      <c r="F636" s="208" t="s">
        <v>509</v>
      </c>
      <c r="G636" s="208" t="s">
        <v>510</v>
      </c>
    </row>
    <row r="637" spans="2:13" ht="25" thickBot="1" x14ac:dyDescent="0.25">
      <c r="B637" s="1011" t="s">
        <v>552</v>
      </c>
      <c r="C637" s="1011"/>
      <c r="D637" s="1011"/>
      <c r="E637" s="253" t="s">
        <v>261</v>
      </c>
      <c r="F637" s="717">
        <f>SUM(K528,O528,S528,U528)/(G528-M528)</f>
        <v>0.6</v>
      </c>
      <c r="G637" s="717">
        <f>SUM(K528,O528,S528,U528)/G528</f>
        <v>0.57692307692307687</v>
      </c>
      <c r="I637" s="236"/>
      <c r="J637" s="236"/>
      <c r="L637" s="6"/>
      <c r="M637" s="6"/>
    </row>
    <row r="638" spans="2:13" ht="25" thickBot="1" x14ac:dyDescent="0.25">
      <c r="B638" s="1011" t="s">
        <v>1160</v>
      </c>
      <c r="C638" s="1011"/>
      <c r="D638" s="1011"/>
      <c r="E638" s="253" t="s">
        <v>261</v>
      </c>
      <c r="F638" s="717">
        <f>SUM(K529,O529,S529,U529)/(G529-M529)</f>
        <v>0.66666666666666663</v>
      </c>
      <c r="G638" s="717">
        <f t="shared" ref="G638:G663" si="23">SUM(K529,O529,S529,U529)/G529</f>
        <v>0.4</v>
      </c>
      <c r="I638" s="236"/>
      <c r="J638" s="236"/>
      <c r="L638" s="6"/>
      <c r="M638" s="6"/>
    </row>
    <row r="639" spans="2:13" ht="25" thickBot="1" x14ac:dyDescent="0.25">
      <c r="B639" s="999" t="s">
        <v>923</v>
      </c>
      <c r="C639" s="999"/>
      <c r="D639" s="999"/>
      <c r="E639" s="253" t="s">
        <v>261</v>
      </c>
      <c r="F639" s="717">
        <f t="shared" ref="F639:F662" si="24">SUM(K530,O530,S530,U530)/(G530-M530)</f>
        <v>0.77108433734939763</v>
      </c>
      <c r="G639" s="717">
        <f>SUM(K530,O530,S530,U530)/G530</f>
        <v>0.76190476190476186</v>
      </c>
      <c r="I639" s="236"/>
      <c r="J639" s="236"/>
      <c r="L639" s="6"/>
      <c r="M639" s="6"/>
    </row>
    <row r="640" spans="2:13" ht="25" thickBot="1" x14ac:dyDescent="0.25">
      <c r="B640" s="1011" t="s">
        <v>553</v>
      </c>
      <c r="C640" s="1011"/>
      <c r="D640" s="1011"/>
      <c r="E640" s="247" t="s">
        <v>261</v>
      </c>
      <c r="F640" s="717">
        <f t="shared" si="24"/>
        <v>0.58108108108108103</v>
      </c>
      <c r="G640" s="717">
        <f t="shared" si="23"/>
        <v>0.55844155844155841</v>
      </c>
      <c r="I640" s="236"/>
      <c r="J640" s="236"/>
      <c r="L640" s="6"/>
      <c r="M640" s="6"/>
    </row>
    <row r="641" spans="2:13" ht="25" thickBot="1" x14ac:dyDescent="0.25">
      <c r="B641" s="1011" t="s">
        <v>1161</v>
      </c>
      <c r="C641" s="1011"/>
      <c r="D641" s="1011"/>
      <c r="E641" s="247" t="s">
        <v>261</v>
      </c>
      <c r="F641" s="717">
        <f t="shared" si="24"/>
        <v>1</v>
      </c>
      <c r="G641" s="717">
        <f t="shared" si="23"/>
        <v>0.66666666666666663</v>
      </c>
      <c r="I641" s="236"/>
      <c r="J641" s="236"/>
      <c r="L641" s="6"/>
      <c r="M641" s="6"/>
    </row>
    <row r="642" spans="2:13" ht="25" thickBot="1" x14ac:dyDescent="0.25">
      <c r="B642" s="999" t="s">
        <v>924</v>
      </c>
      <c r="C642" s="999"/>
      <c r="D642" s="999"/>
      <c r="E642" s="247" t="s">
        <v>261</v>
      </c>
      <c r="F642" s="717">
        <f t="shared" si="24"/>
        <v>0.94594594594594594</v>
      </c>
      <c r="G642" s="717">
        <f t="shared" ref="G642:G657" si="25">SUM(K533,O533,S533,U533)/G533</f>
        <v>0.92105263157894735</v>
      </c>
      <c r="I642" s="236"/>
      <c r="J642" s="236"/>
      <c r="L642" s="6"/>
      <c r="M642" s="6"/>
    </row>
    <row r="643" spans="2:13" ht="25" thickBot="1" x14ac:dyDescent="0.25">
      <c r="B643" s="1011" t="s">
        <v>554</v>
      </c>
      <c r="C643" s="1011"/>
      <c r="D643" s="1011"/>
      <c r="E643" s="247" t="s">
        <v>261</v>
      </c>
      <c r="F643" s="717">
        <f t="shared" si="24"/>
        <v>0.55932203389830504</v>
      </c>
      <c r="G643" s="717">
        <f t="shared" si="25"/>
        <v>0.532258064516129</v>
      </c>
      <c r="I643" s="236"/>
      <c r="J643" s="236"/>
      <c r="L643" s="6"/>
      <c r="M643" s="6"/>
    </row>
    <row r="644" spans="2:13" ht="25" thickBot="1" x14ac:dyDescent="0.25">
      <c r="B644" s="1011" t="s">
        <v>555</v>
      </c>
      <c r="C644" s="1011"/>
      <c r="D644" s="1011"/>
      <c r="E644" s="247" t="s">
        <v>261</v>
      </c>
      <c r="F644" s="717">
        <f t="shared" si="24"/>
        <v>0.83823529411764708</v>
      </c>
      <c r="G644" s="717">
        <f t="shared" si="25"/>
        <v>0.81428571428571428</v>
      </c>
      <c r="I644" s="236"/>
      <c r="J644" s="236"/>
      <c r="L644" s="6"/>
      <c r="M644" s="6"/>
    </row>
    <row r="645" spans="2:13" ht="25" thickBot="1" x14ac:dyDescent="0.25">
      <c r="B645" s="1011" t="s">
        <v>556</v>
      </c>
      <c r="C645" s="1011"/>
      <c r="D645" s="1011"/>
      <c r="E645" s="247" t="s">
        <v>261</v>
      </c>
      <c r="F645" s="717">
        <f>SUM(K536,O536,S536,U536)/(G536-M536)</f>
        <v>0.5</v>
      </c>
      <c r="G645" s="717">
        <f t="shared" si="25"/>
        <v>0.5</v>
      </c>
      <c r="I645" s="236"/>
      <c r="J645" s="236"/>
      <c r="L645" s="6"/>
      <c r="M645" s="6"/>
    </row>
    <row r="646" spans="2:13" ht="25" thickBot="1" x14ac:dyDescent="0.25">
      <c r="B646" s="1011" t="s">
        <v>557</v>
      </c>
      <c r="C646" s="1011"/>
      <c r="D646" s="1011"/>
      <c r="E646" s="247" t="s">
        <v>261</v>
      </c>
      <c r="F646" s="717">
        <f>SUM(K537,O537,S537,U537)/(G537-M537)</f>
        <v>0.50495049504950495</v>
      </c>
      <c r="G646" s="717">
        <f t="shared" si="25"/>
        <v>0.46788990825688076</v>
      </c>
      <c r="I646" s="236"/>
      <c r="J646" s="236"/>
      <c r="L646" s="6"/>
      <c r="M646" s="6"/>
    </row>
    <row r="647" spans="2:13" ht="21" customHeight="1" thickBot="1" x14ac:dyDescent="0.25">
      <c r="B647" s="1011" t="s">
        <v>558</v>
      </c>
      <c r="C647" s="1011"/>
      <c r="D647" s="1011"/>
      <c r="E647" s="247" t="s">
        <v>284</v>
      </c>
      <c r="F647" s="717">
        <f>SUM(K538,O538,S538,U538)/(G538-M538)</f>
        <v>0.77419354838709675</v>
      </c>
      <c r="G647" s="717">
        <f t="shared" si="25"/>
        <v>0.77419354838709675</v>
      </c>
      <c r="I647" s="236"/>
      <c r="J647" s="236"/>
      <c r="L647" s="6"/>
      <c r="M647" s="6"/>
    </row>
    <row r="648" spans="2:13" ht="27.75" customHeight="1" thickBot="1" x14ac:dyDescent="0.25">
      <c r="B648" s="1011" t="s">
        <v>559</v>
      </c>
      <c r="C648" s="1011"/>
      <c r="D648" s="1011"/>
      <c r="E648" s="247" t="s">
        <v>284</v>
      </c>
      <c r="F648" s="717">
        <f>SUM(K539,O539,S539,U539)/(G539-M539)</f>
        <v>1</v>
      </c>
      <c r="G648" s="717">
        <f t="shared" si="25"/>
        <v>1</v>
      </c>
      <c r="I648" s="236"/>
      <c r="J648" s="236"/>
      <c r="L648" s="6"/>
      <c r="M648" s="6"/>
    </row>
    <row r="649" spans="2:13" ht="23.25" customHeight="1" thickBot="1" x14ac:dyDescent="0.25">
      <c r="B649" s="1011" t="s">
        <v>560</v>
      </c>
      <c r="C649" s="1011"/>
      <c r="D649" s="1011"/>
      <c r="E649" s="247" t="s">
        <v>284</v>
      </c>
      <c r="F649" s="717">
        <f t="shared" si="24"/>
        <v>0.9726027397260274</v>
      </c>
      <c r="G649" s="717">
        <f t="shared" si="25"/>
        <v>0.94666666666666666</v>
      </c>
      <c r="I649" s="236"/>
      <c r="J649" s="236"/>
      <c r="L649" s="6"/>
      <c r="M649" s="6"/>
    </row>
    <row r="650" spans="2:13" ht="16" thickBot="1" x14ac:dyDescent="0.25">
      <c r="B650" s="1011" t="s">
        <v>561</v>
      </c>
      <c r="C650" s="1011"/>
      <c r="D650" s="1011"/>
      <c r="E650" s="247" t="s">
        <v>284</v>
      </c>
      <c r="F650" s="717">
        <f>SUM(K541,O541,S541,U541)/(G541-M541)</f>
        <v>0.87323943661971826</v>
      </c>
      <c r="G650" s="717">
        <f t="shared" si="25"/>
        <v>0.82666666666666666</v>
      </c>
      <c r="I650" s="236"/>
      <c r="J650" s="236"/>
      <c r="L650" s="6"/>
      <c r="M650" s="6"/>
    </row>
    <row r="651" spans="2:13" ht="25" thickBot="1" x14ac:dyDescent="0.25">
      <c r="B651" s="1011" t="s">
        <v>562</v>
      </c>
      <c r="C651" s="1011"/>
      <c r="D651" s="1011"/>
      <c r="E651" s="247" t="s">
        <v>261</v>
      </c>
      <c r="F651" s="717">
        <f t="shared" si="24"/>
        <v>0.93506493506493504</v>
      </c>
      <c r="G651" s="717">
        <f t="shared" si="25"/>
        <v>0.91139240506329111</v>
      </c>
      <c r="I651" s="236"/>
      <c r="J651" s="236"/>
      <c r="L651" s="6"/>
      <c r="M651" s="6"/>
    </row>
    <row r="652" spans="2:13" ht="16" thickBot="1" x14ac:dyDescent="0.25">
      <c r="B652" s="1011" t="s">
        <v>563</v>
      </c>
      <c r="C652" s="1011"/>
      <c r="D652" s="1011"/>
      <c r="E652" s="247" t="s">
        <v>284</v>
      </c>
      <c r="F652" s="717">
        <f t="shared" si="24"/>
        <v>0.94594594594594594</v>
      </c>
      <c r="G652" s="717">
        <f t="shared" si="25"/>
        <v>0.93333333333333335</v>
      </c>
      <c r="I652" s="236"/>
      <c r="J652" s="236"/>
      <c r="L652" s="6"/>
      <c r="M652" s="6"/>
    </row>
    <row r="653" spans="2:13" ht="16" thickBot="1" x14ac:dyDescent="0.25">
      <c r="B653" s="1011" t="s">
        <v>564</v>
      </c>
      <c r="C653" s="1011"/>
      <c r="D653" s="1011"/>
      <c r="E653" s="247" t="s">
        <v>284</v>
      </c>
      <c r="F653" s="717">
        <f>SUM(K544,O544,S544,U544)/(G544-M544)</f>
        <v>1</v>
      </c>
      <c r="G653" s="717">
        <f t="shared" si="25"/>
        <v>1</v>
      </c>
      <c r="I653" s="236"/>
      <c r="J653" s="236"/>
      <c r="L653" s="6"/>
      <c r="M653" s="6"/>
    </row>
    <row r="654" spans="2:13" ht="25" thickBot="1" x14ac:dyDescent="0.25">
      <c r="B654" s="1011" t="s">
        <v>565</v>
      </c>
      <c r="C654" s="1011"/>
      <c r="D654" s="1011"/>
      <c r="E654" s="247" t="s">
        <v>261</v>
      </c>
      <c r="F654" s="717">
        <f>SUM(K545,O545,S545,U545)/(G545-M545)</f>
        <v>0.93421052631578949</v>
      </c>
      <c r="G654" s="717">
        <f t="shared" si="25"/>
        <v>0.92207792207792205</v>
      </c>
      <c r="I654" s="236"/>
      <c r="J654" s="236"/>
      <c r="L654" s="6"/>
      <c r="M654" s="6"/>
    </row>
    <row r="655" spans="2:13" ht="22.5" customHeight="1" thickBot="1" x14ac:dyDescent="0.25">
      <c r="B655" s="1011" t="s">
        <v>566</v>
      </c>
      <c r="C655" s="1011"/>
      <c r="D655" s="1011"/>
      <c r="E655" s="247" t="s">
        <v>284</v>
      </c>
      <c r="F655" s="717">
        <f>SUM(K546,O546,S546,U546)/(G546-M546)</f>
        <v>0.98412698412698407</v>
      </c>
      <c r="G655" s="717">
        <f t="shared" si="25"/>
        <v>0.9538461538461539</v>
      </c>
      <c r="I655" s="236"/>
      <c r="J655" s="236"/>
      <c r="L655" s="6"/>
      <c r="M655" s="6"/>
    </row>
    <row r="656" spans="2:13" ht="16" thickBot="1" x14ac:dyDescent="0.25">
      <c r="B656" s="1011" t="s">
        <v>567</v>
      </c>
      <c r="C656" s="1011"/>
      <c r="D656" s="1011"/>
      <c r="E656" s="247" t="s">
        <v>284</v>
      </c>
      <c r="F656" s="717">
        <f>SUM(K547,O547,S547,U547)/(G547-M547)</f>
        <v>1</v>
      </c>
      <c r="G656" s="717">
        <f t="shared" si="25"/>
        <v>1</v>
      </c>
      <c r="I656" s="236"/>
      <c r="J656" s="236"/>
      <c r="L656" s="6"/>
      <c r="M656" s="6"/>
    </row>
    <row r="657" spans="2:13" ht="25.5" customHeight="1" thickBot="1" x14ac:dyDescent="0.25">
      <c r="B657" s="1011" t="s">
        <v>568</v>
      </c>
      <c r="C657" s="1011"/>
      <c r="D657" s="1011"/>
      <c r="E657" s="247" t="s">
        <v>284</v>
      </c>
      <c r="F657" s="717">
        <f>SUM(K548,O548,S548,U548)/(G548-M548)</f>
        <v>0.98333333333333328</v>
      </c>
      <c r="G657" s="717">
        <f t="shared" si="25"/>
        <v>0.921875</v>
      </c>
      <c r="I657" s="236"/>
      <c r="J657" s="236"/>
      <c r="L657" s="6"/>
      <c r="M657" s="6"/>
    </row>
    <row r="658" spans="2:13" ht="16" thickBot="1" x14ac:dyDescent="0.25">
      <c r="B658" s="1011" t="s">
        <v>569</v>
      </c>
      <c r="C658" s="1011"/>
      <c r="D658" s="1011"/>
      <c r="E658" s="247" t="s">
        <v>284</v>
      </c>
      <c r="F658" s="717">
        <f t="shared" si="24"/>
        <v>0.48863636363636365</v>
      </c>
      <c r="G658" s="717">
        <f t="shared" si="23"/>
        <v>0.46739130434782611</v>
      </c>
      <c r="I658" s="236"/>
      <c r="J658" s="236"/>
      <c r="L658" s="6"/>
      <c r="M658" s="6"/>
    </row>
    <row r="659" spans="2:13" ht="16" thickBot="1" x14ac:dyDescent="0.25">
      <c r="B659" s="1011" t="s">
        <v>570</v>
      </c>
      <c r="C659" s="1011"/>
      <c r="D659" s="1011"/>
      <c r="E659" s="247" t="s">
        <v>284</v>
      </c>
      <c r="F659" s="717">
        <f t="shared" si="24"/>
        <v>1</v>
      </c>
      <c r="G659" s="717">
        <f t="shared" si="23"/>
        <v>0.97058823529411764</v>
      </c>
      <c r="I659" s="236"/>
      <c r="J659" s="236"/>
      <c r="L659" s="6"/>
      <c r="M659" s="6"/>
    </row>
    <row r="660" spans="2:13" ht="24" customHeight="1" thickBot="1" x14ac:dyDescent="0.25">
      <c r="B660" s="1011" t="s">
        <v>571</v>
      </c>
      <c r="C660" s="1011"/>
      <c r="D660" s="1011"/>
      <c r="E660" s="247" t="s">
        <v>284</v>
      </c>
      <c r="F660" s="717">
        <f>SUM(K551,O551,S551,U551)/(G551-M551)</f>
        <v>0.96721311475409832</v>
      </c>
      <c r="G660" s="717">
        <f>SUM(K551,O551,S551,U551)/G551</f>
        <v>0.96721311475409832</v>
      </c>
      <c r="I660" s="236"/>
      <c r="J660" s="236"/>
      <c r="L660" s="6"/>
      <c r="M660" s="6"/>
    </row>
    <row r="661" spans="2:13" ht="25" thickBot="1" x14ac:dyDescent="0.25">
      <c r="B661" s="1011" t="s">
        <v>572</v>
      </c>
      <c r="C661" s="1011"/>
      <c r="D661" s="1011"/>
      <c r="E661" s="247" t="s">
        <v>261</v>
      </c>
      <c r="F661" s="717">
        <f>SUM(K552,O552,S552,U552)/(G552-M552)</f>
        <v>0.89830508474576276</v>
      </c>
      <c r="G661" s="717">
        <f>SUM(K552,O552,S552,U552)/G552</f>
        <v>0.89830508474576276</v>
      </c>
      <c r="I661" s="236"/>
      <c r="J661" s="236"/>
      <c r="L661" s="6"/>
      <c r="M661" s="6"/>
    </row>
    <row r="662" spans="2:13" ht="16" thickBot="1" x14ac:dyDescent="0.25">
      <c r="B662" s="1011" t="s">
        <v>573</v>
      </c>
      <c r="C662" s="1011"/>
      <c r="D662" s="1011"/>
      <c r="E662" s="247" t="s">
        <v>284</v>
      </c>
      <c r="F662" s="717">
        <f t="shared" si="24"/>
        <v>0.98412698412698407</v>
      </c>
      <c r="G662" s="717">
        <f>SUM(K553,O553,S553,U553)/G553</f>
        <v>0.98412698412698407</v>
      </c>
      <c r="I662" s="236"/>
      <c r="J662" s="236"/>
      <c r="L662" s="6"/>
      <c r="M662" s="6"/>
    </row>
    <row r="663" spans="2:13" ht="16" thickBot="1" x14ac:dyDescent="0.25">
      <c r="B663" s="1011" t="s">
        <v>574</v>
      </c>
      <c r="C663" s="1011"/>
      <c r="D663" s="1011"/>
      <c r="E663" s="247" t="s">
        <v>284</v>
      </c>
      <c r="F663" s="717">
        <f>SUM(K554,O554,S554,U554)/(G554-M554)</f>
        <v>0.96226415094339623</v>
      </c>
      <c r="G663" s="717">
        <f t="shared" si="23"/>
        <v>0.96226415094339623</v>
      </c>
      <c r="I663" s="236"/>
      <c r="J663" s="236"/>
      <c r="L663" s="6"/>
      <c r="M663" s="6"/>
    </row>
    <row r="664" spans="2:13" ht="26.25" customHeight="1" thickBot="1" x14ac:dyDescent="0.25">
      <c r="B664" s="1078" t="s">
        <v>575</v>
      </c>
      <c r="C664" s="1078"/>
      <c r="D664" s="1078"/>
      <c r="E664" s="247" t="s">
        <v>284</v>
      </c>
      <c r="F664" s="717">
        <f>SUM(K555,O555,S555,U555)/(G555-M555)</f>
        <v>0.97826086956521741</v>
      </c>
      <c r="G664" s="717">
        <f>SUM(K555,O555,S555,U555)/G555</f>
        <v>0.97826086956521741</v>
      </c>
      <c r="I664" s="236"/>
      <c r="J664" s="236"/>
      <c r="L664" s="6"/>
      <c r="M664" s="6"/>
    </row>
    <row r="665" spans="2:13" ht="22.5" customHeight="1" thickBot="1" x14ac:dyDescent="0.25">
      <c r="B665" s="1078" t="s">
        <v>928</v>
      </c>
      <c r="C665" s="1078"/>
      <c r="D665" s="1078"/>
      <c r="E665" s="247" t="s">
        <v>284</v>
      </c>
      <c r="F665" s="717">
        <f>SUM(K557,O557,S557,U557)/(G557-M557)</f>
        <v>1</v>
      </c>
      <c r="G665" s="717">
        <f>SUM(K557,O557,S557,U557)/G557</f>
        <v>1</v>
      </c>
      <c r="I665" s="236"/>
      <c r="J665" s="236"/>
      <c r="L665" s="6"/>
      <c r="M665" s="6"/>
    </row>
    <row r="666" spans="2:13" ht="16" thickBot="1" x14ac:dyDescent="0.25">
      <c r="B666" s="1011" t="s">
        <v>576</v>
      </c>
      <c r="C666" s="1011"/>
      <c r="D666" s="1011"/>
      <c r="E666" s="247" t="s">
        <v>284</v>
      </c>
      <c r="F666" s="717">
        <f>SUM(K558,O558,S558,U558)/(G558-M558)</f>
        <v>1</v>
      </c>
      <c r="G666" s="717">
        <f t="shared" ref="G666:G691" si="26">SUM(K558,O558,S558,U558)/G558</f>
        <v>0.97826086956521741</v>
      </c>
      <c r="I666" s="236"/>
      <c r="J666" s="236"/>
      <c r="L666" s="6"/>
      <c r="M666" s="6"/>
    </row>
    <row r="667" spans="2:13" ht="22.5" customHeight="1" thickBot="1" x14ac:dyDescent="0.25">
      <c r="B667" s="1011" t="s">
        <v>577</v>
      </c>
      <c r="C667" s="1011"/>
      <c r="D667" s="1011"/>
      <c r="E667" s="247" t="s">
        <v>284</v>
      </c>
      <c r="F667" s="717">
        <f>SUM(K559,O559,S559,U559)/(G559-M559)</f>
        <v>0.97872340425531912</v>
      </c>
      <c r="G667" s="717">
        <f>SUM(K559,O559,S559,U559)/G559</f>
        <v>0.92</v>
      </c>
      <c r="I667" s="236"/>
      <c r="J667" s="236"/>
      <c r="L667" s="6"/>
      <c r="M667" s="6"/>
    </row>
    <row r="668" spans="2:13" ht="16" thickBot="1" x14ac:dyDescent="0.25">
      <c r="B668" s="1011" t="s">
        <v>578</v>
      </c>
      <c r="C668" s="1011"/>
      <c r="D668" s="1011"/>
      <c r="E668" s="247" t="s">
        <v>284</v>
      </c>
      <c r="F668" s="717">
        <f>SUM(K560,O560,S560,U560)/(G560-M560)</f>
        <v>0.88461538461538458</v>
      </c>
      <c r="G668" s="717">
        <f>SUM(K560,O560,S560,U560)/G560</f>
        <v>0.88461538461538458</v>
      </c>
      <c r="I668" s="236"/>
      <c r="J668" s="236"/>
      <c r="L668" s="6"/>
      <c r="M668" s="6"/>
    </row>
    <row r="669" spans="2:13" ht="16" thickBot="1" x14ac:dyDescent="0.25">
      <c r="B669" s="1011" t="s">
        <v>579</v>
      </c>
      <c r="C669" s="1011"/>
      <c r="D669" s="1011"/>
      <c r="E669" s="247" t="s">
        <v>284</v>
      </c>
      <c r="F669" s="717">
        <f>SUM(K561,O561,S561,U561)/(G561-M561)</f>
        <v>0.91489361702127658</v>
      </c>
      <c r="G669" s="717">
        <f t="shared" si="26"/>
        <v>0.87755102040816324</v>
      </c>
      <c r="I669" s="236"/>
      <c r="J669" s="236"/>
      <c r="L669" s="6"/>
      <c r="M669" s="6"/>
    </row>
    <row r="670" spans="2:13" ht="26.25" customHeight="1" thickBot="1" x14ac:dyDescent="0.25">
      <c r="B670" s="1011" t="s">
        <v>580</v>
      </c>
      <c r="C670" s="1011"/>
      <c r="D670" s="1011"/>
      <c r="E670" s="247" t="s">
        <v>284</v>
      </c>
      <c r="F670" s="717">
        <f t="shared" ref="F670:F690" si="27">SUM(K562,O562,S562,U562)/(G562-M562)</f>
        <v>0.97826086956521741</v>
      </c>
      <c r="G670" s="717">
        <f t="shared" ref="G670:G681" si="28">SUM(K562,O562,S562,U562)/G562</f>
        <v>0.95744680851063835</v>
      </c>
      <c r="I670" s="236"/>
      <c r="J670" s="236"/>
      <c r="L670" s="6"/>
      <c r="M670" s="6"/>
    </row>
    <row r="671" spans="2:13" ht="16" thickBot="1" x14ac:dyDescent="0.25">
      <c r="B671" s="1011" t="s">
        <v>583</v>
      </c>
      <c r="C671" s="1011"/>
      <c r="D671" s="1011"/>
      <c r="E671" s="247" t="s">
        <v>284</v>
      </c>
      <c r="F671" s="717">
        <f t="shared" si="27"/>
        <v>0.97727272727272729</v>
      </c>
      <c r="G671" s="717">
        <f t="shared" si="28"/>
        <v>0.97727272727272729</v>
      </c>
      <c r="I671" s="236"/>
      <c r="J671" s="236"/>
      <c r="L671" s="6"/>
      <c r="M671" s="6"/>
    </row>
    <row r="672" spans="2:13" ht="16" thickBot="1" x14ac:dyDescent="0.25">
      <c r="B672" s="1011" t="s">
        <v>584</v>
      </c>
      <c r="C672" s="1011"/>
      <c r="D672" s="1011"/>
      <c r="E672" s="247" t="s">
        <v>284</v>
      </c>
      <c r="F672" s="717">
        <f t="shared" si="27"/>
        <v>1</v>
      </c>
      <c r="G672" s="717">
        <f t="shared" si="28"/>
        <v>0.9285714285714286</v>
      </c>
      <c r="I672" s="236"/>
      <c r="J672" s="236"/>
      <c r="L672" s="6"/>
      <c r="M672" s="6"/>
    </row>
    <row r="673" spans="2:13" ht="24" customHeight="1" thickBot="1" x14ac:dyDescent="0.25">
      <c r="B673" s="1011" t="s">
        <v>585</v>
      </c>
      <c r="C673" s="1011"/>
      <c r="D673" s="1011"/>
      <c r="E673" s="247" t="s">
        <v>284</v>
      </c>
      <c r="F673" s="717">
        <f t="shared" ref="F673:F684" si="29">SUM(K565,O565,S565,U565)/(G565-M565)</f>
        <v>0.90196078431372551</v>
      </c>
      <c r="G673" s="717">
        <f t="shared" si="28"/>
        <v>0.90196078431372551</v>
      </c>
      <c r="I673" s="236"/>
      <c r="J673" s="236"/>
      <c r="L673" s="6"/>
      <c r="M673" s="6"/>
    </row>
    <row r="674" spans="2:13" ht="22.5" customHeight="1" thickBot="1" x14ac:dyDescent="0.25">
      <c r="B674" s="1011" t="s">
        <v>587</v>
      </c>
      <c r="C674" s="1011"/>
      <c r="D674" s="1011"/>
      <c r="E674" s="247" t="s">
        <v>317</v>
      </c>
      <c r="F674" s="717">
        <f t="shared" si="29"/>
        <v>1</v>
      </c>
      <c r="G674" s="717">
        <f t="shared" si="28"/>
        <v>0.8571428571428571</v>
      </c>
      <c r="I674" s="236"/>
      <c r="J674" s="236"/>
      <c r="L674" s="6"/>
      <c r="M674" s="6"/>
    </row>
    <row r="675" spans="2:13" ht="16" thickBot="1" x14ac:dyDescent="0.25">
      <c r="B675" s="1011" t="s">
        <v>588</v>
      </c>
      <c r="C675" s="1011"/>
      <c r="D675" s="1011"/>
      <c r="E675" s="247" t="s">
        <v>317</v>
      </c>
      <c r="F675" s="717">
        <f t="shared" si="29"/>
        <v>1</v>
      </c>
      <c r="G675" s="717">
        <f t="shared" si="28"/>
        <v>1</v>
      </c>
      <c r="I675" s="236"/>
      <c r="J675" s="236"/>
      <c r="L675" s="6"/>
      <c r="M675" s="6"/>
    </row>
    <row r="676" spans="2:13" ht="16" thickBot="1" x14ac:dyDescent="0.25">
      <c r="B676" s="1011" t="s">
        <v>595</v>
      </c>
      <c r="C676" s="1011"/>
      <c r="D676" s="1011"/>
      <c r="E676" s="247" t="s">
        <v>317</v>
      </c>
      <c r="F676" s="717">
        <f t="shared" si="29"/>
        <v>1</v>
      </c>
      <c r="G676" s="717">
        <f t="shared" si="28"/>
        <v>1</v>
      </c>
      <c r="I676" s="236"/>
      <c r="J676" s="236"/>
      <c r="L676" s="6"/>
      <c r="M676" s="6"/>
    </row>
    <row r="677" spans="2:13" ht="16" thickBot="1" x14ac:dyDescent="0.25">
      <c r="B677" s="1011" t="s">
        <v>596</v>
      </c>
      <c r="C677" s="1011"/>
      <c r="D677" s="1011"/>
      <c r="E677" s="247" t="s">
        <v>284</v>
      </c>
      <c r="F677" s="717">
        <f t="shared" si="29"/>
        <v>1</v>
      </c>
      <c r="G677" s="717">
        <f t="shared" si="28"/>
        <v>1</v>
      </c>
      <c r="I677" s="236"/>
      <c r="J677" s="236"/>
      <c r="L677" s="6"/>
      <c r="M677" s="6"/>
    </row>
    <row r="678" spans="2:13" ht="16" thickBot="1" x14ac:dyDescent="0.25">
      <c r="B678" s="1011" t="s">
        <v>597</v>
      </c>
      <c r="C678" s="1011"/>
      <c r="D678" s="1011"/>
      <c r="E678" s="247" t="s">
        <v>284</v>
      </c>
      <c r="F678" s="717">
        <f t="shared" si="29"/>
        <v>1</v>
      </c>
      <c r="G678" s="717">
        <f t="shared" si="28"/>
        <v>1</v>
      </c>
      <c r="I678" s="236"/>
      <c r="J678" s="236"/>
      <c r="L678" s="6"/>
      <c r="M678" s="6"/>
    </row>
    <row r="679" spans="2:13" ht="16" thickBot="1" x14ac:dyDescent="0.25">
      <c r="B679" s="1011" t="s">
        <v>598</v>
      </c>
      <c r="C679" s="1011"/>
      <c r="D679" s="1011"/>
      <c r="E679" s="247" t="s">
        <v>284</v>
      </c>
      <c r="F679" s="717">
        <f t="shared" si="29"/>
        <v>1</v>
      </c>
      <c r="G679" s="717">
        <f t="shared" si="28"/>
        <v>1</v>
      </c>
      <c r="I679" s="236"/>
      <c r="J679" s="236"/>
      <c r="L679" s="6"/>
      <c r="M679" s="6"/>
    </row>
    <row r="680" spans="2:13" ht="16" thickBot="1" x14ac:dyDescent="0.25">
      <c r="B680" s="1011" t="s">
        <v>599</v>
      </c>
      <c r="C680" s="1011"/>
      <c r="D680" s="1011"/>
      <c r="E680" s="247" t="s">
        <v>284</v>
      </c>
      <c r="F680" s="717">
        <f t="shared" si="29"/>
        <v>1</v>
      </c>
      <c r="G680" s="717">
        <f t="shared" si="28"/>
        <v>1</v>
      </c>
      <c r="I680" s="236"/>
      <c r="J680" s="236"/>
      <c r="L680" s="6"/>
      <c r="M680" s="6"/>
    </row>
    <row r="681" spans="2:13" ht="16" thickBot="1" x14ac:dyDescent="0.25">
      <c r="B681" s="1011" t="s">
        <v>157</v>
      </c>
      <c r="C681" s="1011"/>
      <c r="D681" s="1011"/>
      <c r="E681" s="247" t="s">
        <v>284</v>
      </c>
      <c r="F681" s="717">
        <f t="shared" si="29"/>
        <v>1</v>
      </c>
      <c r="G681" s="717">
        <f t="shared" si="28"/>
        <v>0.94594594594594594</v>
      </c>
      <c r="I681" s="236"/>
      <c r="J681" s="236"/>
      <c r="L681" s="6"/>
      <c r="M681" s="6"/>
    </row>
    <row r="682" spans="2:13" ht="16" thickBot="1" x14ac:dyDescent="0.25">
      <c r="B682" s="1011" t="s">
        <v>590</v>
      </c>
      <c r="C682" s="1011"/>
      <c r="D682" s="1011"/>
      <c r="E682" s="247" t="s">
        <v>284</v>
      </c>
      <c r="F682" s="717">
        <f t="shared" si="29"/>
        <v>1</v>
      </c>
      <c r="G682" s="717">
        <f t="shared" si="26"/>
        <v>0.94736842105263153</v>
      </c>
      <c r="I682" s="236"/>
      <c r="J682" s="236"/>
      <c r="L682" s="6"/>
      <c r="M682" s="6"/>
    </row>
    <row r="683" spans="2:13" ht="16" thickBot="1" x14ac:dyDescent="0.25">
      <c r="B683" s="1011" t="s">
        <v>591</v>
      </c>
      <c r="C683" s="1011"/>
      <c r="D683" s="1011"/>
      <c r="E683" s="247" t="s">
        <v>284</v>
      </c>
      <c r="F683" s="717">
        <f t="shared" si="29"/>
        <v>1</v>
      </c>
      <c r="G683" s="717">
        <f t="shared" si="26"/>
        <v>0.97142857142857142</v>
      </c>
      <c r="I683" s="236"/>
      <c r="J683" s="236"/>
      <c r="L683" s="6"/>
      <c r="M683" s="6"/>
    </row>
    <row r="684" spans="2:13" ht="16" thickBot="1" x14ac:dyDescent="0.25">
      <c r="B684" s="1011" t="s">
        <v>592</v>
      </c>
      <c r="C684" s="1011"/>
      <c r="D684" s="1011"/>
      <c r="E684" s="247" t="s">
        <v>284</v>
      </c>
      <c r="F684" s="717">
        <f t="shared" si="29"/>
        <v>1</v>
      </c>
      <c r="G684" s="717">
        <f>SUM(K576,O576,S576,U576)/G576</f>
        <v>0.97560975609756095</v>
      </c>
      <c r="I684" s="236"/>
      <c r="J684" s="236"/>
      <c r="L684" s="6"/>
      <c r="M684" s="6"/>
    </row>
    <row r="685" spans="2:13" ht="16" thickBot="1" x14ac:dyDescent="0.25">
      <c r="B685" s="1011" t="s">
        <v>593</v>
      </c>
      <c r="C685" s="1011"/>
      <c r="D685" s="1011"/>
      <c r="E685" s="247" t="s">
        <v>284</v>
      </c>
      <c r="F685" s="717">
        <f t="shared" si="27"/>
        <v>1</v>
      </c>
      <c r="G685" s="717">
        <f t="shared" si="26"/>
        <v>0.95</v>
      </c>
      <c r="I685" s="236"/>
      <c r="J685" s="236"/>
      <c r="L685" s="6"/>
      <c r="M685" s="6"/>
    </row>
    <row r="686" spans="2:13" ht="16" thickBot="1" x14ac:dyDescent="0.25">
      <c r="B686" s="1011" t="s">
        <v>594</v>
      </c>
      <c r="C686" s="1011"/>
      <c r="D686" s="1011"/>
      <c r="E686" s="247" t="s">
        <v>284</v>
      </c>
      <c r="F686" s="717">
        <f>SUM(K578,O578,S578,U578)/(G578-M578)</f>
        <v>1</v>
      </c>
      <c r="G686" s="717">
        <f>SUM(K578,O578,S578,U578)/G578</f>
        <v>0.84782608695652173</v>
      </c>
      <c r="I686" s="236"/>
      <c r="J686" s="236"/>
      <c r="L686" s="6"/>
      <c r="M686" s="6"/>
    </row>
    <row r="687" spans="2:13" ht="23.25" customHeight="1" thickBot="1" x14ac:dyDescent="0.25">
      <c r="B687" s="1011" t="s">
        <v>600</v>
      </c>
      <c r="C687" s="1011"/>
      <c r="D687" s="1011"/>
      <c r="E687" s="247" t="s">
        <v>284</v>
      </c>
      <c r="F687" s="717">
        <f>SUM(K579,O579,S579,U579)/(G579-M579)</f>
        <v>1</v>
      </c>
      <c r="G687" s="717">
        <f>SUM(K579,O579,S579,U579)/G579</f>
        <v>1</v>
      </c>
      <c r="I687" s="236"/>
      <c r="J687" s="236"/>
      <c r="L687" s="6"/>
      <c r="M687" s="6"/>
    </row>
    <row r="688" spans="2:13" ht="16" thickBot="1" x14ac:dyDescent="0.25">
      <c r="B688" s="1011" t="s">
        <v>601</v>
      </c>
      <c r="C688" s="1011"/>
      <c r="D688" s="1011"/>
      <c r="E688" s="247" t="s">
        <v>284</v>
      </c>
      <c r="F688" s="717">
        <f>SUM(K580,O580,S580,U580)/(G580-M580)</f>
        <v>1</v>
      </c>
      <c r="G688" s="717">
        <f t="shared" si="26"/>
        <v>1</v>
      </c>
      <c r="I688" s="236"/>
      <c r="J688" s="236"/>
      <c r="L688" s="6"/>
      <c r="M688" s="6"/>
    </row>
    <row r="689" spans="1:15" ht="16" thickBot="1" x14ac:dyDescent="0.25">
      <c r="B689" s="1011" t="s">
        <v>602</v>
      </c>
      <c r="C689" s="1011"/>
      <c r="D689" s="1011"/>
      <c r="E689" s="247" t="s">
        <v>317</v>
      </c>
      <c r="F689" s="717">
        <f t="shared" si="27"/>
        <v>1</v>
      </c>
      <c r="G689" s="717">
        <f>SUM(K581,O581,S581,U581)/G581</f>
        <v>1</v>
      </c>
      <c r="I689" s="236"/>
      <c r="J689" s="236"/>
      <c r="L689" s="6"/>
      <c r="M689" s="6"/>
    </row>
    <row r="690" spans="1:15" ht="24" customHeight="1" thickBot="1" x14ac:dyDescent="0.25">
      <c r="B690" s="1011" t="s">
        <v>603</v>
      </c>
      <c r="C690" s="1011"/>
      <c r="D690" s="1011"/>
      <c r="E690" s="247" t="s">
        <v>317</v>
      </c>
      <c r="F690" s="717">
        <f t="shared" si="27"/>
        <v>1</v>
      </c>
      <c r="G690" s="717">
        <f t="shared" si="26"/>
        <v>1</v>
      </c>
      <c r="I690" s="236"/>
      <c r="J690" s="236"/>
      <c r="L690" s="6"/>
      <c r="M690" s="6"/>
    </row>
    <row r="691" spans="1:15" ht="16" thickBot="1" x14ac:dyDescent="0.25">
      <c r="B691" s="999" t="s">
        <v>954</v>
      </c>
      <c r="C691" s="999"/>
      <c r="D691" s="999"/>
      <c r="E691" s="290" t="s">
        <v>317</v>
      </c>
      <c r="F691" s="717">
        <f>SUM(K583,O583,S583,U583)/(G583-M583)</f>
        <v>0.8571428571428571</v>
      </c>
      <c r="G691" s="717">
        <f t="shared" si="26"/>
        <v>0.8571428571428571</v>
      </c>
      <c r="I691" s="236"/>
      <c r="J691" s="236"/>
      <c r="L691" s="6"/>
      <c r="M691" s="6"/>
    </row>
    <row r="692" spans="1:15" ht="16" thickBot="1" x14ac:dyDescent="0.25">
      <c r="B692" s="999" t="s">
        <v>926</v>
      </c>
      <c r="C692" s="999"/>
      <c r="D692" s="999"/>
      <c r="E692" s="290" t="s">
        <v>317</v>
      </c>
      <c r="F692" s="717">
        <f>SUM(K584,O584,S584,U584)/(G584-M584)</f>
        <v>1</v>
      </c>
      <c r="G692" s="717">
        <f>SUM(K584,O584,S584,U584)/G584</f>
        <v>1</v>
      </c>
      <c r="I692" s="236"/>
      <c r="J692" s="236"/>
      <c r="L692" s="6"/>
      <c r="M692" s="6"/>
    </row>
    <row r="693" spans="1:15" ht="16" thickBot="1" x14ac:dyDescent="0.25">
      <c r="B693" s="1140" t="s">
        <v>927</v>
      </c>
      <c r="C693" s="1140"/>
      <c r="D693" s="1140"/>
      <c r="E693" s="288" t="s">
        <v>317</v>
      </c>
      <c r="F693" s="606">
        <f>SUM(K585,O585,S585,U585)/(G585-M585)</f>
        <v>1</v>
      </c>
      <c r="G693" s="606">
        <f>SUM(K585,O585,S585,U585)/G585</f>
        <v>1</v>
      </c>
      <c r="I693" s="236"/>
      <c r="J693" s="236"/>
      <c r="L693" s="6"/>
      <c r="M693" s="6"/>
    </row>
    <row r="694" spans="1:15" x14ac:dyDescent="0.2">
      <c r="B694" s="1045" t="s">
        <v>1167</v>
      </c>
      <c r="C694" s="1045"/>
    </row>
    <row r="695" spans="1:15" x14ac:dyDescent="0.2">
      <c r="B695" s="40" t="s">
        <v>68</v>
      </c>
      <c r="C695" s="40"/>
      <c r="D695" s="40"/>
    </row>
    <row r="696" spans="1:15" x14ac:dyDescent="0.2">
      <c r="B696" s="45" t="s">
        <v>511</v>
      </c>
      <c r="C696" s="45"/>
      <c r="D696" s="45"/>
      <c r="E696" s="45"/>
    </row>
    <row r="697" spans="1:15" x14ac:dyDescent="0.2">
      <c r="B697" s="45" t="s">
        <v>512</v>
      </c>
    </row>
    <row r="698" spans="1:15" x14ac:dyDescent="0.2">
      <c r="B698" s="45"/>
    </row>
    <row r="699" spans="1:15" x14ac:dyDescent="0.2">
      <c r="B699" s="45"/>
    </row>
    <row r="700" spans="1:15" x14ac:dyDescent="0.2">
      <c r="A700" s="49"/>
      <c r="B700" s="46" t="s">
        <v>844</v>
      </c>
      <c r="G700" s="49" t="s">
        <v>930</v>
      </c>
      <c r="K700" s="49"/>
    </row>
    <row r="701" spans="1:15" x14ac:dyDescent="0.2">
      <c r="B701" s="741" t="s">
        <v>2</v>
      </c>
      <c r="C701" s="741"/>
      <c r="D701" s="208" t="s">
        <v>31</v>
      </c>
      <c r="E701" s="208"/>
      <c r="F701" s="208" t="s">
        <v>4</v>
      </c>
      <c r="G701" s="208" t="s">
        <v>5</v>
      </c>
      <c r="H701" s="208" t="s">
        <v>6</v>
      </c>
      <c r="I701" s="208" t="s">
        <v>912</v>
      </c>
      <c r="J701" s="208" t="s">
        <v>985</v>
      </c>
      <c r="K701" s="208" t="s">
        <v>1169</v>
      </c>
    </row>
    <row r="702" spans="1:15" ht="15" customHeight="1" thickBot="1" x14ac:dyDescent="0.25">
      <c r="B702" s="1145" t="s">
        <v>7</v>
      </c>
      <c r="C702" s="1146"/>
      <c r="D702" s="1133" t="s">
        <v>25</v>
      </c>
      <c r="E702" s="1133"/>
      <c r="F702" s="247">
        <v>13</v>
      </c>
      <c r="G702" s="720">
        <v>14</v>
      </c>
      <c r="H702" s="247">
        <v>16</v>
      </c>
      <c r="I702" s="247">
        <v>16</v>
      </c>
      <c r="J702" s="260">
        <v>17</v>
      </c>
      <c r="K702" s="613">
        <v>18</v>
      </c>
      <c r="O702" s="421"/>
    </row>
    <row r="703" spans="1:15" ht="27" customHeight="1" thickBot="1" x14ac:dyDescent="0.25">
      <c r="B703" s="1145"/>
      <c r="C703" s="1146"/>
      <c r="D703" s="1133" t="s">
        <v>513</v>
      </c>
      <c r="E703" s="1133"/>
      <c r="F703" s="255">
        <v>0.80389429763560505</v>
      </c>
      <c r="G703" s="255">
        <v>0.78078484438430307</v>
      </c>
      <c r="H703" s="255">
        <v>0.86051502145922742</v>
      </c>
      <c r="I703" s="255">
        <v>0.81188118811881194</v>
      </c>
      <c r="J703" s="255">
        <v>0.78809869375907116</v>
      </c>
      <c r="K703" s="614">
        <f>SUM(K521,O521,S521,U521)/G521</f>
        <v>0.80658159838818</v>
      </c>
      <c r="O703" s="16"/>
    </row>
    <row r="704" spans="1:15" ht="26.25" customHeight="1" thickBot="1" x14ac:dyDescent="0.25">
      <c r="B704" s="1145"/>
      <c r="C704" s="1146"/>
      <c r="D704" s="1133" t="s">
        <v>514</v>
      </c>
      <c r="E704" s="1133"/>
      <c r="F704" s="255">
        <v>0.75124378109452739</v>
      </c>
      <c r="G704" s="255">
        <v>0.73114754098360657</v>
      </c>
      <c r="H704" s="255">
        <v>0.82151589242053791</v>
      </c>
      <c r="I704" s="255">
        <v>0.8084714548802947</v>
      </c>
      <c r="J704" s="255">
        <v>0.81098546042003228</v>
      </c>
      <c r="K704" s="614">
        <f>SUM(K522,O522,S522,U522)/G522</f>
        <v>0.76518883415435135</v>
      </c>
      <c r="O704" s="16"/>
    </row>
    <row r="705" spans="2:33" ht="19.5" customHeight="1" thickBot="1" x14ac:dyDescent="0.25">
      <c r="B705" s="1145"/>
      <c r="C705" s="1146"/>
      <c r="D705" s="1133" t="s">
        <v>515</v>
      </c>
      <c r="E705" s="1133"/>
      <c r="F705" s="255">
        <v>0.15596330275229359</v>
      </c>
      <c r="G705" s="255">
        <v>0.28947368421052633</v>
      </c>
      <c r="H705" s="255">
        <v>0.2581</v>
      </c>
      <c r="I705" s="255">
        <v>0.21210000000000001</v>
      </c>
      <c r="J705" s="255">
        <v>0.23150000000000001</v>
      </c>
      <c r="K705" s="614">
        <v>0.3382</v>
      </c>
      <c r="O705" s="16"/>
    </row>
    <row r="706" spans="2:33" ht="25.5" customHeight="1" thickBot="1" x14ac:dyDescent="0.25">
      <c r="B706" s="1145"/>
      <c r="C706" s="1146"/>
      <c r="D706" s="1133" t="s">
        <v>516</v>
      </c>
      <c r="E706" s="1133"/>
      <c r="F706" s="255">
        <v>0.44736842105263158</v>
      </c>
      <c r="G706" s="255">
        <v>0.48148148148148145</v>
      </c>
      <c r="H706" s="255">
        <v>0.21049999999999999</v>
      </c>
      <c r="I706" s="255">
        <v>0.34289999999999998</v>
      </c>
      <c r="J706" s="255">
        <v>0.4</v>
      </c>
      <c r="K706" s="614">
        <v>0.58179999999999998</v>
      </c>
      <c r="O706" s="16"/>
    </row>
    <row r="707" spans="2:33" ht="18" customHeight="1" thickBot="1" x14ac:dyDescent="0.25">
      <c r="B707" s="1145"/>
      <c r="C707" s="1146"/>
      <c r="D707" s="1133" t="s">
        <v>517</v>
      </c>
      <c r="E707" s="1133"/>
      <c r="F707" s="255">
        <v>0.86786786786786785</v>
      </c>
      <c r="G707" s="255">
        <v>0.83021582733812949</v>
      </c>
      <c r="H707" s="255">
        <v>0.90723981900452488</v>
      </c>
      <c r="I707" s="255">
        <v>0.85789014821272891</v>
      </c>
      <c r="J707" s="255">
        <v>0.82335102350265355</v>
      </c>
      <c r="K707" s="614">
        <f>SUM(K521,O521,S521,U521)/(G521-M521)</f>
        <v>0.84399156711173573</v>
      </c>
      <c r="O707" s="16"/>
      <c r="Q707" s="291"/>
    </row>
    <row r="708" spans="2:33" ht="18.75" customHeight="1" thickBot="1" x14ac:dyDescent="0.25">
      <c r="B708" s="1145"/>
      <c r="C708" s="1146"/>
      <c r="D708" s="1133" t="s">
        <v>518</v>
      </c>
      <c r="E708" s="1133"/>
      <c r="F708" s="255">
        <v>0.34615384615384615</v>
      </c>
      <c r="G708" s="255">
        <v>0.28947368421052633</v>
      </c>
      <c r="H708" s="255">
        <v>0.32258064516129031</v>
      </c>
      <c r="I708" s="255">
        <v>0.52629999999999999</v>
      </c>
      <c r="J708" s="255">
        <v>0.4</v>
      </c>
      <c r="K708" s="614">
        <v>0.32500000000000001</v>
      </c>
      <c r="O708" s="16"/>
    </row>
    <row r="709" spans="2:33" ht="27.75" customHeight="1" thickBot="1" x14ac:dyDescent="0.25">
      <c r="B709" s="1145"/>
      <c r="C709" s="1146"/>
      <c r="D709" s="1133" t="s">
        <v>519</v>
      </c>
      <c r="E709" s="1133"/>
      <c r="F709" s="255">
        <v>0.59259259259259256</v>
      </c>
      <c r="G709" s="255">
        <v>0.42307692307692307</v>
      </c>
      <c r="H709" s="255">
        <v>0.34210526315789475</v>
      </c>
      <c r="I709" s="255">
        <v>0.40739999999999998</v>
      </c>
      <c r="J709" s="255">
        <v>0.63160000000000005</v>
      </c>
      <c r="K709" s="614">
        <v>0.54290000000000005</v>
      </c>
      <c r="O709" s="16"/>
    </row>
    <row r="710" spans="2:33" ht="18.75" customHeight="1" thickBot="1" x14ac:dyDescent="0.25">
      <c r="B710" s="1145"/>
      <c r="C710" s="1146"/>
      <c r="D710" s="1133" t="s">
        <v>520</v>
      </c>
      <c r="E710" s="1133"/>
      <c r="F710" s="255">
        <v>0.93969999999999998</v>
      </c>
      <c r="G710" s="255">
        <v>0.9657</v>
      </c>
      <c r="H710" s="255">
        <v>0.94830000000000003</v>
      </c>
      <c r="I710" s="255">
        <v>0.94955489614243327</v>
      </c>
      <c r="J710" s="255">
        <v>0.93490709360757285</v>
      </c>
      <c r="K710" s="614">
        <v>0.93989999999999996</v>
      </c>
      <c r="O710" s="16"/>
      <c r="Z710" s="637"/>
      <c r="AA710" s="638"/>
      <c r="AB710" s="638"/>
      <c r="AC710" s="638"/>
      <c r="AD710" s="638"/>
      <c r="AE710" s="638"/>
      <c r="AF710" s="638"/>
      <c r="AG710" s="637"/>
    </row>
    <row r="711" spans="2:33" ht="30" customHeight="1" thickBot="1" x14ac:dyDescent="0.25">
      <c r="B711" s="1145"/>
      <c r="C711" s="1146"/>
      <c r="D711" s="1134" t="s">
        <v>521</v>
      </c>
      <c r="E711" s="1134"/>
      <c r="F711" s="250" t="s">
        <v>523</v>
      </c>
      <c r="G711" s="631" t="s">
        <v>524</v>
      </c>
      <c r="H711" s="250" t="s">
        <v>525</v>
      </c>
      <c r="I711" s="250" t="s">
        <v>1162</v>
      </c>
      <c r="J711" s="261" t="s">
        <v>1164</v>
      </c>
      <c r="K711" s="719" t="s">
        <v>1465</v>
      </c>
      <c r="Z711" s="639"/>
      <c r="AA711" s="640"/>
      <c r="AB711" s="640"/>
      <c r="AC711" s="640"/>
      <c r="AD711" s="641"/>
      <c r="AE711" s="640"/>
      <c r="AF711" s="640"/>
      <c r="AG711" s="641"/>
    </row>
    <row r="712" spans="2:33" x14ac:dyDescent="0.2">
      <c r="B712" s="67"/>
      <c r="C712" s="67"/>
      <c r="D712" s="64"/>
      <c r="E712" s="64"/>
      <c r="F712" s="64"/>
      <c r="G712" s="65"/>
      <c r="H712" s="65"/>
      <c r="I712" s="65"/>
      <c r="J712" s="65"/>
      <c r="K712" s="65"/>
      <c r="Q712" s="721"/>
      <c r="R712" s="721"/>
      <c r="Z712" s="639"/>
      <c r="AA712" s="640"/>
      <c r="AB712" s="640"/>
      <c r="AC712" s="640"/>
      <c r="AD712" s="641"/>
      <c r="AE712" s="641"/>
      <c r="AF712" s="640"/>
      <c r="AG712" s="641"/>
    </row>
    <row r="713" spans="2:33" x14ac:dyDescent="0.2">
      <c r="B713" s="741" t="s">
        <v>2</v>
      </c>
      <c r="C713" s="741"/>
      <c r="D713" s="208" t="s">
        <v>31</v>
      </c>
      <c r="E713" s="208"/>
      <c r="F713" s="208" t="s">
        <v>4</v>
      </c>
      <c r="G713" s="208" t="s">
        <v>5</v>
      </c>
      <c r="H713" s="208" t="s">
        <v>6</v>
      </c>
      <c r="I713" s="208" t="s">
        <v>912</v>
      </c>
      <c r="J713" s="208" t="s">
        <v>985</v>
      </c>
      <c r="K713" s="208" t="s">
        <v>1169</v>
      </c>
      <c r="O713" s="421"/>
      <c r="Z713" s="639"/>
      <c r="AA713" s="641"/>
      <c r="AB713" s="641"/>
      <c r="AC713" s="641"/>
      <c r="AD713" s="641"/>
      <c r="AE713" s="641"/>
      <c r="AF713" s="641"/>
      <c r="AG713" s="641"/>
    </row>
    <row r="714" spans="2:33" ht="18.75" customHeight="1" thickBot="1" x14ac:dyDescent="0.25">
      <c r="B714" s="1145" t="s">
        <v>8</v>
      </c>
      <c r="C714" s="1146"/>
      <c r="D714" s="1133" t="s">
        <v>25</v>
      </c>
      <c r="E714" s="1133"/>
      <c r="F714" s="247">
        <v>31</v>
      </c>
      <c r="G714" s="247">
        <v>31</v>
      </c>
      <c r="H714" s="247">
        <v>33</v>
      </c>
      <c r="I714" s="247">
        <v>60</v>
      </c>
      <c r="J714" s="260">
        <v>48</v>
      </c>
      <c r="K714" s="613">
        <v>35</v>
      </c>
      <c r="O714" s="612"/>
      <c r="Z714" s="639"/>
      <c r="AA714" s="641"/>
      <c r="AB714" s="641"/>
      <c r="AC714" s="641"/>
      <c r="AD714" s="641"/>
      <c r="AE714" s="641"/>
      <c r="AF714" s="641"/>
      <c r="AG714" s="641"/>
    </row>
    <row r="715" spans="2:33" ht="27.75" customHeight="1" thickBot="1" x14ac:dyDescent="0.25">
      <c r="B715" s="1145"/>
      <c r="C715" s="1146"/>
      <c r="D715" s="1133" t="s">
        <v>513</v>
      </c>
      <c r="E715" s="1133"/>
      <c r="F715" s="255">
        <v>0.82523885350318471</v>
      </c>
      <c r="G715" s="255">
        <v>0.8355042798660216</v>
      </c>
      <c r="H715" s="255">
        <v>0.84468976018271791</v>
      </c>
      <c r="I715" s="255">
        <v>0.85185185185185186</v>
      </c>
      <c r="J715" s="255">
        <v>0.85911994322214336</v>
      </c>
      <c r="K715" s="614">
        <f>SUM(K533,O533,S533,U533)/G533</f>
        <v>0.92105263157894735</v>
      </c>
      <c r="O715" s="16"/>
      <c r="Z715" s="472"/>
      <c r="AB715" s="49"/>
      <c r="AD715" s="472"/>
      <c r="AF715" s="49"/>
    </row>
    <row r="716" spans="2:33" ht="29.25" customHeight="1" thickBot="1" x14ac:dyDescent="0.25">
      <c r="B716" s="1145"/>
      <c r="C716" s="1146"/>
      <c r="D716" s="1133" t="s">
        <v>514</v>
      </c>
      <c r="E716" s="1133"/>
      <c r="F716" s="255">
        <v>0.7407407407407407</v>
      </c>
      <c r="G716" s="255">
        <v>0.72556894243641235</v>
      </c>
      <c r="H716" s="255">
        <v>0.69076305220883538</v>
      </c>
      <c r="I716" s="255">
        <v>0.67571059431524549</v>
      </c>
      <c r="J716" s="255">
        <v>0.76470588235294112</v>
      </c>
      <c r="K716" s="614">
        <f>SUM(K534,O534,S534,U534)/G534</f>
        <v>0.532258064516129</v>
      </c>
      <c r="O716" s="16"/>
    </row>
    <row r="717" spans="2:33" ht="21" customHeight="1" thickBot="1" x14ac:dyDescent="0.25">
      <c r="B717" s="1145"/>
      <c r="C717" s="1146"/>
      <c r="D717" s="1133" t="s">
        <v>515</v>
      </c>
      <c r="E717" s="1133"/>
      <c r="F717" s="255">
        <v>7.7399999999999997E-2</v>
      </c>
      <c r="G717" s="255">
        <v>7.2164948453608241E-2</v>
      </c>
      <c r="H717" s="255">
        <v>0.15246636771300448</v>
      </c>
      <c r="I717" s="255">
        <v>0.1583</v>
      </c>
      <c r="J717" s="255">
        <v>7.9200000000000007E-2</v>
      </c>
      <c r="K717" s="614">
        <v>6.25E-2</v>
      </c>
      <c r="O717" s="16"/>
    </row>
    <row r="718" spans="2:33" ht="26.25" customHeight="1" thickBot="1" x14ac:dyDescent="0.25">
      <c r="B718" s="1145"/>
      <c r="C718" s="1146"/>
      <c r="D718" s="1133" t="s">
        <v>516</v>
      </c>
      <c r="E718" s="1133"/>
      <c r="F718" s="255">
        <v>0.1636</v>
      </c>
      <c r="G718" s="255">
        <v>0.14516129032258066</v>
      </c>
      <c r="H718" s="255">
        <v>0.25</v>
      </c>
      <c r="I718" s="255">
        <v>0.20630000000000001</v>
      </c>
      <c r="J718" s="255">
        <v>0.1356</v>
      </c>
      <c r="K718" s="614">
        <v>8.3299999999999999E-2</v>
      </c>
      <c r="O718" s="16"/>
    </row>
    <row r="719" spans="2:33" ht="21" customHeight="1" thickBot="1" x14ac:dyDescent="0.25">
      <c r="B719" s="1145"/>
      <c r="C719" s="1146"/>
      <c r="D719" s="1133" t="s">
        <v>517</v>
      </c>
      <c r="E719" s="1133"/>
      <c r="F719" s="255">
        <v>0.85838509316770184</v>
      </c>
      <c r="G719" s="255">
        <v>0.88039215686274508</v>
      </c>
      <c r="H719" s="255">
        <v>0.88547486033519551</v>
      </c>
      <c r="I719" s="255">
        <v>0.88893058161350846</v>
      </c>
      <c r="J719" s="255">
        <v>0.82516703786191536</v>
      </c>
      <c r="K719" s="614">
        <f>SUM(K533,O533,S533,U533)/(G533-M533)</f>
        <v>0.94594594594594594</v>
      </c>
      <c r="O719" s="16"/>
    </row>
    <row r="720" spans="2:33" ht="21.75" customHeight="1" thickBot="1" x14ac:dyDescent="0.25">
      <c r="B720" s="1145"/>
      <c r="C720" s="1146"/>
      <c r="D720" s="1133" t="s">
        <v>606</v>
      </c>
      <c r="E720" s="1133"/>
      <c r="F720" s="255">
        <v>0.32</v>
      </c>
      <c r="G720" s="255">
        <v>0.32727272727272727</v>
      </c>
      <c r="H720" s="255">
        <v>0.32258064516129031</v>
      </c>
      <c r="I720" s="255">
        <v>0.53569999999999995</v>
      </c>
      <c r="J720" s="255">
        <v>0.47620000000000001</v>
      </c>
      <c r="K720" s="614">
        <v>0.30509999999999998</v>
      </c>
      <c r="O720" s="16"/>
      <c r="AE720" s="8"/>
    </row>
    <row r="721" spans="1:31" ht="25.5" customHeight="1" thickBot="1" x14ac:dyDescent="0.25">
      <c r="B721" s="1145"/>
      <c r="C721" s="1146"/>
      <c r="D721" s="1133" t="s">
        <v>607</v>
      </c>
      <c r="E721" s="1133"/>
      <c r="F721" s="255">
        <v>0.64439999999999997</v>
      </c>
      <c r="G721" s="255">
        <v>0.57999999999999996</v>
      </c>
      <c r="H721" s="255">
        <v>0.47272727272727272</v>
      </c>
      <c r="I721" s="255">
        <v>0.629</v>
      </c>
      <c r="J721" s="255">
        <v>0.69640000000000002</v>
      </c>
      <c r="K721" s="614">
        <v>0.65080000000000005</v>
      </c>
      <c r="O721" s="16"/>
      <c r="AE721" s="8"/>
    </row>
    <row r="722" spans="1:31" ht="20.25" customHeight="1" thickBot="1" x14ac:dyDescent="0.25">
      <c r="B722" s="1145"/>
      <c r="C722" s="1146"/>
      <c r="D722" s="1133" t="s">
        <v>520</v>
      </c>
      <c r="E722" s="1133"/>
      <c r="F722" s="255">
        <v>0.94667087409277373</v>
      </c>
      <c r="G722" s="255">
        <v>0.9587</v>
      </c>
      <c r="H722" s="255">
        <v>0.93530000000000002</v>
      </c>
      <c r="I722" s="255">
        <v>0.88073394495412849</v>
      </c>
      <c r="J722" s="255">
        <v>0.95846645367412142</v>
      </c>
      <c r="K722" s="614">
        <v>0.87429999999999997</v>
      </c>
      <c r="O722" s="16"/>
    </row>
    <row r="723" spans="1:31" ht="24" customHeight="1" thickBot="1" x14ac:dyDescent="0.25">
      <c r="B723" s="1145"/>
      <c r="C723" s="1146"/>
      <c r="D723" s="1134" t="s">
        <v>521</v>
      </c>
      <c r="E723" s="1134"/>
      <c r="F723" s="250" t="s">
        <v>608</v>
      </c>
      <c r="G723" s="631" t="s">
        <v>609</v>
      </c>
      <c r="H723" s="250" t="s">
        <v>610</v>
      </c>
      <c r="I723" s="250" t="s">
        <v>979</v>
      </c>
      <c r="J723" s="261" t="s">
        <v>1165</v>
      </c>
      <c r="K723" s="719" t="s">
        <v>1466</v>
      </c>
    </row>
    <row r="724" spans="1:31" x14ac:dyDescent="0.2">
      <c r="B724" s="37"/>
    </row>
    <row r="725" spans="1:31" x14ac:dyDescent="0.2">
      <c r="B725" s="741" t="s">
        <v>2</v>
      </c>
      <c r="C725" s="741"/>
      <c r="D725" s="208" t="s">
        <v>31</v>
      </c>
      <c r="E725" s="208"/>
      <c r="F725" s="208" t="s">
        <v>912</v>
      </c>
      <c r="G725" s="208" t="s">
        <v>985</v>
      </c>
      <c r="H725" s="208" t="s">
        <v>1169</v>
      </c>
    </row>
    <row r="726" spans="1:31" ht="18.75" customHeight="1" thickBot="1" x14ac:dyDescent="0.25">
      <c r="B726" s="1141" t="s">
        <v>931</v>
      </c>
      <c r="C726" s="1142"/>
      <c r="D726" s="1133" t="s">
        <v>25</v>
      </c>
      <c r="E726" s="1133"/>
      <c r="F726" s="471">
        <v>1</v>
      </c>
      <c r="G726" s="470">
        <v>0</v>
      </c>
      <c r="H726" s="470">
        <v>1</v>
      </c>
    </row>
    <row r="727" spans="1:31" ht="21" customHeight="1" thickBot="1" x14ac:dyDescent="0.25">
      <c r="B727" s="1143"/>
      <c r="C727" s="1144"/>
      <c r="D727" s="1133" t="s">
        <v>515</v>
      </c>
      <c r="E727" s="1133"/>
      <c r="F727" s="722">
        <v>0</v>
      </c>
      <c r="G727" s="723">
        <v>0.2</v>
      </c>
      <c r="H727" s="723">
        <v>0.375</v>
      </c>
      <c r="I727" s="16"/>
    </row>
    <row r="728" spans="1:31" ht="26.25" customHeight="1" thickBot="1" x14ac:dyDescent="0.25">
      <c r="B728" s="1143"/>
      <c r="C728" s="1144"/>
      <c r="D728" s="1133" t="s">
        <v>516</v>
      </c>
      <c r="E728" s="1133"/>
      <c r="F728" s="722">
        <v>0</v>
      </c>
      <c r="G728" s="723">
        <v>0.33329999999999999</v>
      </c>
      <c r="H728" s="723">
        <v>0.75</v>
      </c>
      <c r="I728" s="16"/>
    </row>
    <row r="729" spans="1:31" ht="21.75" customHeight="1" thickBot="1" x14ac:dyDescent="0.25">
      <c r="B729" s="1143"/>
      <c r="C729" s="1144"/>
      <c r="D729" s="1133" t="s">
        <v>606</v>
      </c>
      <c r="E729" s="1133"/>
      <c r="F729" s="722">
        <v>1</v>
      </c>
      <c r="G729" s="723" t="s">
        <v>52</v>
      </c>
      <c r="H729" s="723">
        <v>1</v>
      </c>
      <c r="I729" s="16"/>
    </row>
    <row r="730" spans="1:31" ht="25.5" customHeight="1" thickBot="1" x14ac:dyDescent="0.25">
      <c r="B730" s="1143"/>
      <c r="C730" s="1144"/>
      <c r="D730" s="1133" t="s">
        <v>607</v>
      </c>
      <c r="E730" s="1133"/>
      <c r="F730" s="722" t="s">
        <v>52</v>
      </c>
      <c r="G730" s="722" t="s">
        <v>52</v>
      </c>
      <c r="H730" s="723">
        <v>0</v>
      </c>
      <c r="I730" s="16"/>
    </row>
    <row r="731" spans="1:31" ht="25.5" customHeight="1" thickBot="1" x14ac:dyDescent="0.25">
      <c r="A731" s="49"/>
      <c r="B731" s="1143"/>
      <c r="C731" s="1144"/>
      <c r="D731" s="1147" t="s">
        <v>1163</v>
      </c>
      <c r="E731" s="1147"/>
      <c r="F731" s="724">
        <v>1.3913043478260869</v>
      </c>
      <c r="G731" s="725" t="s">
        <v>52</v>
      </c>
      <c r="H731" s="725">
        <v>0.98440000000000005</v>
      </c>
      <c r="I731" s="16"/>
    </row>
    <row r="732" spans="1:31" ht="24" customHeight="1" thickBot="1" x14ac:dyDescent="0.25">
      <c r="B732" s="1143"/>
      <c r="C732" s="1144"/>
      <c r="D732" s="1134" t="s">
        <v>521</v>
      </c>
      <c r="E732" s="1134"/>
      <c r="F732" s="726" t="s">
        <v>522</v>
      </c>
      <c r="G732" s="727" t="s">
        <v>52</v>
      </c>
      <c r="H732" s="727" t="s">
        <v>1467</v>
      </c>
    </row>
    <row r="734" spans="1:31" x14ac:dyDescent="0.2">
      <c r="B734" s="925" t="s">
        <v>1167</v>
      </c>
      <c r="C734" s="925"/>
      <c r="L734" s="55"/>
    </row>
    <row r="735" spans="1:31" x14ac:dyDescent="0.2">
      <c r="B735" s="40" t="s">
        <v>68</v>
      </c>
      <c r="C735" s="40"/>
      <c r="D735" s="40"/>
      <c r="E735" s="40"/>
      <c r="L735" s="55"/>
      <c r="M735" s="56"/>
      <c r="N735" s="57"/>
      <c r="O735" s="57"/>
      <c r="P735" s="57"/>
    </row>
    <row r="736" spans="1:31" x14ac:dyDescent="0.2">
      <c r="B736" s="40" t="s">
        <v>526</v>
      </c>
      <c r="D736" s="40"/>
      <c r="E736" s="40"/>
      <c r="L736" s="55"/>
      <c r="M736" s="56"/>
      <c r="N736" s="57"/>
      <c r="O736" s="57"/>
      <c r="P736" s="57"/>
    </row>
    <row r="737" spans="1:18" x14ac:dyDescent="0.2">
      <c r="B737" s="40" t="s">
        <v>527</v>
      </c>
      <c r="L737" s="55"/>
      <c r="M737" s="56"/>
      <c r="N737" s="57"/>
      <c r="O737" s="57"/>
      <c r="P737" s="57"/>
    </row>
    <row r="738" spans="1:18" x14ac:dyDescent="0.2">
      <c r="B738" s="40" t="s">
        <v>528</v>
      </c>
      <c r="L738" s="55"/>
      <c r="M738" s="56"/>
      <c r="N738" s="57"/>
      <c r="O738" s="57"/>
      <c r="P738" s="57"/>
    </row>
    <row r="739" spans="1:18" x14ac:dyDescent="0.2">
      <c r="B739" s="40" t="s">
        <v>529</v>
      </c>
      <c r="L739" s="55"/>
      <c r="O739" s="57"/>
      <c r="P739" s="57"/>
    </row>
    <row r="740" spans="1:18" x14ac:dyDescent="0.2">
      <c r="B740" s="40" t="s">
        <v>530</v>
      </c>
      <c r="K740" s="55"/>
      <c r="L740" s="56"/>
      <c r="M740" s="57"/>
      <c r="N740" s="57"/>
      <c r="O740" s="57"/>
      <c r="R740" s="13"/>
    </row>
    <row r="741" spans="1:18" x14ac:dyDescent="0.2">
      <c r="B741" s="40" t="s">
        <v>531</v>
      </c>
      <c r="K741" s="55"/>
      <c r="L741" s="56"/>
      <c r="M741" s="57"/>
      <c r="N741" s="57"/>
      <c r="O741" s="57"/>
      <c r="R741" s="13"/>
    </row>
    <row r="742" spans="1:18" x14ac:dyDescent="0.2">
      <c r="B742" s="40" t="s">
        <v>532</v>
      </c>
      <c r="K742" s="55"/>
      <c r="L742" s="56"/>
      <c r="M742" s="57"/>
      <c r="N742" s="57"/>
      <c r="O742" s="57"/>
      <c r="R742" s="13"/>
    </row>
    <row r="743" spans="1:18" x14ac:dyDescent="0.2">
      <c r="B743" s="40" t="s">
        <v>533</v>
      </c>
      <c r="K743" s="55"/>
      <c r="L743" s="56"/>
      <c r="M743" s="57"/>
      <c r="N743" s="57"/>
      <c r="O743" s="57"/>
      <c r="R743" s="13"/>
    </row>
    <row r="744" spans="1:18" x14ac:dyDescent="0.2">
      <c r="B744" s="40" t="s">
        <v>534</v>
      </c>
      <c r="K744" s="55"/>
      <c r="L744" s="56"/>
      <c r="M744" s="57"/>
      <c r="N744" s="57"/>
      <c r="O744" s="57"/>
      <c r="R744" s="13"/>
    </row>
    <row r="745" spans="1:18" x14ac:dyDescent="0.2">
      <c r="B745" s="40" t="s">
        <v>535</v>
      </c>
      <c r="K745" s="55"/>
      <c r="L745" s="56"/>
      <c r="M745" s="57"/>
      <c r="N745" s="57"/>
      <c r="O745" s="57"/>
      <c r="Q745" s="58"/>
      <c r="R745" s="58"/>
    </row>
    <row r="746" spans="1:18" x14ac:dyDescent="0.2">
      <c r="B746" s="37"/>
    </row>
    <row r="748" spans="1:18" x14ac:dyDescent="0.2">
      <c r="A748" s="49"/>
      <c r="B748" s="61" t="s">
        <v>845</v>
      </c>
      <c r="C748" s="667"/>
      <c r="E748" s="49"/>
    </row>
    <row r="749" spans="1:18" x14ac:dyDescent="0.2">
      <c r="E749" t="s">
        <v>930</v>
      </c>
      <c r="H749" s="33"/>
      <c r="I749" s="33"/>
      <c r="K749" s="33"/>
    </row>
    <row r="750" spans="1:18" x14ac:dyDescent="0.2">
      <c r="B750" s="1153" t="s">
        <v>7</v>
      </c>
      <c r="C750" s="1154"/>
      <c r="D750" s="1154"/>
      <c r="E750" s="1154"/>
      <c r="F750" s="1154"/>
      <c r="G750" s="1154"/>
      <c r="H750" s="1154"/>
      <c r="I750" s="1154"/>
      <c r="J750" s="1154"/>
      <c r="K750" s="1154"/>
      <c r="L750" s="1154"/>
      <c r="M750" s="1154"/>
      <c r="N750" s="1154"/>
    </row>
    <row r="751" spans="1:18" ht="24.75" customHeight="1" x14ac:dyDescent="0.2">
      <c r="B751" s="1008" t="s">
        <v>929</v>
      </c>
      <c r="C751" s="1012" t="s">
        <v>796</v>
      </c>
      <c r="D751" s="1012"/>
      <c r="E751" s="1012"/>
      <c r="F751" s="1012"/>
      <c r="G751" s="1012"/>
      <c r="H751" s="1148"/>
      <c r="I751" s="1012" t="s">
        <v>797</v>
      </c>
      <c r="J751" s="1012"/>
      <c r="K751" s="1012"/>
      <c r="L751" s="1012"/>
      <c r="M751" s="1012"/>
      <c r="N751" s="1012"/>
    </row>
    <row r="752" spans="1:18" ht="29.25" customHeight="1" x14ac:dyDescent="0.2">
      <c r="B752" s="1012"/>
      <c r="C752" s="1012" t="s">
        <v>798</v>
      </c>
      <c r="D752" s="1012"/>
      <c r="E752" s="1012" t="s">
        <v>799</v>
      </c>
      <c r="F752" s="1012"/>
      <c r="G752" s="1012" t="s">
        <v>800</v>
      </c>
      <c r="H752" s="1148"/>
      <c r="I752" s="1012" t="s">
        <v>801</v>
      </c>
      <c r="J752" s="1012"/>
      <c r="K752" s="1012" t="s">
        <v>802</v>
      </c>
      <c r="L752" s="1012"/>
      <c r="M752" s="1012" t="s">
        <v>803</v>
      </c>
      <c r="N752" s="1012"/>
    </row>
    <row r="753" spans="2:14" x14ac:dyDescent="0.2">
      <c r="B753" s="570">
        <v>2020</v>
      </c>
      <c r="C753" s="1156">
        <v>0</v>
      </c>
      <c r="D753" s="1157"/>
      <c r="E753" s="1157">
        <v>0</v>
      </c>
      <c r="F753" s="1157"/>
      <c r="G753" s="1152">
        <v>1</v>
      </c>
      <c r="H753" s="1152"/>
      <c r="I753" s="1152">
        <v>0.42899999999999999</v>
      </c>
      <c r="J753" s="1152"/>
      <c r="K753" s="1152">
        <v>0.28599999999999998</v>
      </c>
      <c r="L753" s="1152"/>
      <c r="M753" s="1152">
        <v>0.28599999999999998</v>
      </c>
      <c r="N753" s="1152"/>
    </row>
    <row r="754" spans="2:14" ht="16" thickBot="1" x14ac:dyDescent="0.25">
      <c r="B754" s="569">
        <v>2023</v>
      </c>
      <c r="C754" s="1179">
        <v>4.4999999999999998E-2</v>
      </c>
      <c r="D754" s="1174"/>
      <c r="E754" s="1174">
        <v>0</v>
      </c>
      <c r="F754" s="1174"/>
      <c r="G754" s="1175">
        <v>0.88600000000000001</v>
      </c>
      <c r="H754" s="1175"/>
      <c r="I754" s="1175">
        <v>0.81799999999999995</v>
      </c>
      <c r="J754" s="1175"/>
      <c r="K754" s="1175">
        <v>9.0999999999999998E-2</v>
      </c>
      <c r="L754" s="1175"/>
      <c r="M754" s="1175">
        <v>9.0999999999999998E-2</v>
      </c>
      <c r="N754" s="1175"/>
    </row>
    <row r="759" spans="2:14" x14ac:dyDescent="0.2">
      <c r="B759" s="163"/>
    </row>
    <row r="760" spans="2:14" x14ac:dyDescent="0.2">
      <c r="B760" s="164"/>
      <c r="C760" s="164"/>
    </row>
    <row r="761" spans="2:14" x14ac:dyDescent="0.2">
      <c r="B761" s="164"/>
      <c r="C761" s="162"/>
    </row>
    <row r="762" spans="2:14" x14ac:dyDescent="0.2">
      <c r="B762" s="164"/>
      <c r="C762" s="162"/>
    </row>
    <row r="773" spans="2:15" x14ac:dyDescent="0.2">
      <c r="B773" s="49"/>
    </row>
    <row r="774" spans="2:15" x14ac:dyDescent="0.2">
      <c r="B774" s="1153" t="s">
        <v>8</v>
      </c>
      <c r="C774" s="1154"/>
      <c r="D774" s="1154"/>
      <c r="E774" s="1154"/>
      <c r="F774" s="1154"/>
      <c r="G774" s="1154"/>
      <c r="H774" s="1154"/>
      <c r="I774" s="1154"/>
      <c r="J774" s="1154"/>
      <c r="K774" s="1154"/>
      <c r="L774" s="1154"/>
      <c r="M774" s="1154"/>
      <c r="N774" s="1154"/>
    </row>
    <row r="775" spans="2:15" ht="23.25" customHeight="1" x14ac:dyDescent="0.2">
      <c r="B775" s="1008" t="s">
        <v>929</v>
      </c>
      <c r="C775" s="1012" t="s">
        <v>796</v>
      </c>
      <c r="D775" s="1012"/>
      <c r="E775" s="1012"/>
      <c r="F775" s="1012"/>
      <c r="G775" s="1012"/>
      <c r="H775" s="1148"/>
      <c r="I775" s="1155" t="s">
        <v>797</v>
      </c>
      <c r="J775" s="1008"/>
      <c r="K775" s="1008"/>
      <c r="L775" s="1008"/>
      <c r="M775" s="1008"/>
      <c r="N775" s="1008"/>
    </row>
    <row r="776" spans="2:15" ht="31.5" customHeight="1" x14ac:dyDescent="0.2">
      <c r="B776" s="1012"/>
      <c r="C776" s="1012" t="s">
        <v>798</v>
      </c>
      <c r="D776" s="1012"/>
      <c r="E776" s="1012" t="s">
        <v>799</v>
      </c>
      <c r="F776" s="1012"/>
      <c r="G776" s="1012" t="s">
        <v>800</v>
      </c>
      <c r="H776" s="1148"/>
      <c r="I776" s="1012" t="s">
        <v>801</v>
      </c>
      <c r="J776" s="1012"/>
      <c r="K776" s="1012" t="s">
        <v>802</v>
      </c>
      <c r="L776" s="1012"/>
      <c r="M776" s="1008" t="s">
        <v>803</v>
      </c>
      <c r="N776" s="1008"/>
    </row>
    <row r="777" spans="2:15" x14ac:dyDescent="0.2">
      <c r="B777" s="570">
        <v>2020</v>
      </c>
      <c r="C777" s="1156">
        <v>0</v>
      </c>
      <c r="D777" s="1157"/>
      <c r="E777" s="1157">
        <v>0</v>
      </c>
      <c r="F777" s="1157"/>
      <c r="G777" s="1152">
        <v>1</v>
      </c>
      <c r="H777" s="1152"/>
      <c r="I777" s="1152">
        <v>1</v>
      </c>
      <c r="J777" s="1152"/>
      <c r="K777" s="1152">
        <v>0</v>
      </c>
      <c r="L777" s="1152"/>
      <c r="M777" s="1152">
        <v>0</v>
      </c>
      <c r="N777" s="1152"/>
    </row>
    <row r="778" spans="2:15" ht="16" thickBot="1" x14ac:dyDescent="0.25">
      <c r="B778" s="265">
        <v>2023</v>
      </c>
      <c r="C778" s="1149">
        <v>7.3999999999999996E-2</v>
      </c>
      <c r="D778" s="1150"/>
      <c r="E778" s="1150">
        <v>0</v>
      </c>
      <c r="F778" s="1150"/>
      <c r="G778" s="1151">
        <v>0.88900000000000001</v>
      </c>
      <c r="H778" s="1151"/>
      <c r="I778" s="1151">
        <v>0.92600000000000005</v>
      </c>
      <c r="J778" s="1151"/>
      <c r="K778" s="1151">
        <v>3.6999999999999998E-2</v>
      </c>
      <c r="L778" s="1151"/>
      <c r="M778" s="1151">
        <v>3.6999999999999998E-2</v>
      </c>
      <c r="N778" s="1151"/>
      <c r="O778" s="49"/>
    </row>
    <row r="783" spans="2:15" x14ac:dyDescent="0.2">
      <c r="B783" s="163"/>
    </row>
    <row r="784" spans="2:15" x14ac:dyDescent="0.2">
      <c r="B784" s="164"/>
      <c r="C784" s="164"/>
    </row>
    <row r="785" spans="2:3" x14ac:dyDescent="0.2">
      <c r="B785" s="164"/>
      <c r="C785" s="162"/>
    </row>
    <row r="786" spans="2:3" x14ac:dyDescent="0.2">
      <c r="B786" s="164"/>
      <c r="C786" s="162"/>
    </row>
    <row r="797" spans="2:3" x14ac:dyDescent="0.2">
      <c r="B797" s="899" t="s">
        <v>1483</v>
      </c>
      <c r="C797" s="899"/>
    </row>
    <row r="798" spans="2:3" x14ac:dyDescent="0.2">
      <c r="B798" s="40" t="s">
        <v>1168</v>
      </c>
      <c r="C798" s="40"/>
    </row>
  </sheetData>
  <sortState xmlns:xlrd2="http://schemas.microsoft.com/office/spreadsheetml/2017/richdata2" ref="B399:U436">
    <sortCondition ref="B35"/>
  </sortState>
  <mergeCells count="3179">
    <mergeCell ref="B211:G211"/>
    <mergeCell ref="B232:G232"/>
    <mergeCell ref="X423:Y423"/>
    <mergeCell ref="X424:Y424"/>
    <mergeCell ref="X425:Y425"/>
    <mergeCell ref="X426:Y426"/>
    <mergeCell ref="V405:W405"/>
    <mergeCell ref="V406:W406"/>
    <mergeCell ref="V407:W407"/>
    <mergeCell ref="V408:W408"/>
    <mergeCell ref="V409:W409"/>
    <mergeCell ref="I413:J413"/>
    <mergeCell ref="Q413:R413"/>
    <mergeCell ref="S413:T413"/>
    <mergeCell ref="D414:F414"/>
    <mergeCell ref="G414:H414"/>
    <mergeCell ref="I414:J414"/>
    <mergeCell ref="Q414:R414"/>
    <mergeCell ref="S414:T414"/>
    <mergeCell ref="D415:F415"/>
    <mergeCell ref="V422:W422"/>
    <mergeCell ref="V423:W423"/>
    <mergeCell ref="V424:W424"/>
    <mergeCell ref="V425:W425"/>
    <mergeCell ref="V426:W426"/>
    <mergeCell ref="X405:Y405"/>
    <mergeCell ref="X406:Y406"/>
    <mergeCell ref="X407:Y407"/>
    <mergeCell ref="X408:Y408"/>
    <mergeCell ref="X409:Y409"/>
    <mergeCell ref="X410:Y410"/>
    <mergeCell ref="X411:Y411"/>
    <mergeCell ref="B685:D685"/>
    <mergeCell ref="B686:D686"/>
    <mergeCell ref="B687:D687"/>
    <mergeCell ref="B688:D688"/>
    <mergeCell ref="B672:D672"/>
    <mergeCell ref="X412:Y412"/>
    <mergeCell ref="X413:Y413"/>
    <mergeCell ref="X414:Y414"/>
    <mergeCell ref="X415:Y415"/>
    <mergeCell ref="X416:Y416"/>
    <mergeCell ref="X417:Y417"/>
    <mergeCell ref="X418:Y418"/>
    <mergeCell ref="X419:Y419"/>
    <mergeCell ref="X420:Y420"/>
    <mergeCell ref="X421:Y421"/>
    <mergeCell ref="X422:Y422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W240:X240"/>
    <mergeCell ref="U393:V393"/>
    <mergeCell ref="W393:X393"/>
    <mergeCell ref="Y393:Z393"/>
    <mergeCell ref="Y387:Z387"/>
    <mergeCell ref="W380:X380"/>
    <mergeCell ref="Y380:Z380"/>
    <mergeCell ref="U365:V365"/>
    <mergeCell ref="V410:W410"/>
    <mergeCell ref="V411:W411"/>
    <mergeCell ref="V412:W412"/>
    <mergeCell ref="V413:W413"/>
    <mergeCell ref="V414:W414"/>
    <mergeCell ref="V415:W415"/>
    <mergeCell ref="V416:W416"/>
    <mergeCell ref="V417:W417"/>
    <mergeCell ref="V418:W418"/>
    <mergeCell ref="V419:W419"/>
    <mergeCell ref="V420:W420"/>
    <mergeCell ref="V421:W421"/>
    <mergeCell ref="Q416:R416"/>
    <mergeCell ref="S416:T416"/>
    <mergeCell ref="D417:F417"/>
    <mergeCell ref="G417:H417"/>
    <mergeCell ref="I417:J417"/>
    <mergeCell ref="Q417:R417"/>
    <mergeCell ref="S417:T417"/>
    <mergeCell ref="Q412:R412"/>
    <mergeCell ref="S412:T412"/>
    <mergeCell ref="D413:F413"/>
    <mergeCell ref="G413:H413"/>
    <mergeCell ref="G412:H412"/>
    <mergeCell ref="S418:T418"/>
    <mergeCell ref="Q419:R419"/>
    <mergeCell ref="S419:T419"/>
    <mergeCell ref="J179:K179"/>
    <mergeCell ref="J180:K180"/>
    <mergeCell ref="D195:E195"/>
    <mergeCell ref="F195:G195"/>
    <mergeCell ref="H195:I195"/>
    <mergeCell ref="D196:E196"/>
    <mergeCell ref="F196:G196"/>
    <mergeCell ref="H196:I196"/>
    <mergeCell ref="D192:E192"/>
    <mergeCell ref="G415:H415"/>
    <mergeCell ref="I415:J415"/>
    <mergeCell ref="Q415:R415"/>
    <mergeCell ref="S415:T415"/>
    <mergeCell ref="M754:N754"/>
    <mergeCell ref="C777:D777"/>
    <mergeCell ref="E777:F777"/>
    <mergeCell ref="G777:H777"/>
    <mergeCell ref="I777:J777"/>
    <mergeCell ref="K777:L777"/>
    <mergeCell ref="M777:N777"/>
    <mergeCell ref="G424:H424"/>
    <mergeCell ref="I424:J424"/>
    <mergeCell ref="Q424:R424"/>
    <mergeCell ref="S424:T424"/>
    <mergeCell ref="J181:K181"/>
    <mergeCell ref="J182:K182"/>
    <mergeCell ref="J183:K183"/>
    <mergeCell ref="J184:K184"/>
    <mergeCell ref="J185:K185"/>
    <mergeCell ref="J186:K186"/>
    <mergeCell ref="C754:D754"/>
    <mergeCell ref="B684:D684"/>
    <mergeCell ref="J187:K187"/>
    <mergeCell ref="J188:K188"/>
    <mergeCell ref="D162:E162"/>
    <mergeCell ref="F162:G162"/>
    <mergeCell ref="H162:I162"/>
    <mergeCell ref="D163:E163"/>
    <mergeCell ref="F163:G163"/>
    <mergeCell ref="H163:I163"/>
    <mergeCell ref="D164:E164"/>
    <mergeCell ref="F164:G164"/>
    <mergeCell ref="H164:I164"/>
    <mergeCell ref="E754:F754"/>
    <mergeCell ref="G754:H754"/>
    <mergeCell ref="I754:J754"/>
    <mergeCell ref="K754:L754"/>
    <mergeCell ref="B412:C417"/>
    <mergeCell ref="D416:F416"/>
    <mergeCell ref="G416:H416"/>
    <mergeCell ref="I416:J416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J74:K74"/>
    <mergeCell ref="J75:K75"/>
    <mergeCell ref="J76:K76"/>
    <mergeCell ref="J77:K77"/>
    <mergeCell ref="J78:K78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H188:I188"/>
    <mergeCell ref="D189:E189"/>
    <mergeCell ref="F189:G189"/>
    <mergeCell ref="H189:I189"/>
    <mergeCell ref="D190:E190"/>
    <mergeCell ref="F190:G190"/>
    <mergeCell ref="H190:I190"/>
    <mergeCell ref="D191:E191"/>
    <mergeCell ref="F191:G191"/>
    <mergeCell ref="H191:I191"/>
    <mergeCell ref="H170:I170"/>
    <mergeCell ref="D171:E171"/>
    <mergeCell ref="F171:G171"/>
    <mergeCell ref="H171:I171"/>
    <mergeCell ref="D172:E172"/>
    <mergeCell ref="F172:G172"/>
    <mergeCell ref="H172:I172"/>
    <mergeCell ref="D173:E173"/>
    <mergeCell ref="F173:G173"/>
    <mergeCell ref="H173:I173"/>
    <mergeCell ref="D174:E174"/>
    <mergeCell ref="F174:G174"/>
    <mergeCell ref="H174:I174"/>
    <mergeCell ref="D194:E194"/>
    <mergeCell ref="F194:G194"/>
    <mergeCell ref="H194:I194"/>
    <mergeCell ref="H179:I179"/>
    <mergeCell ref="D180:E180"/>
    <mergeCell ref="F180:G180"/>
    <mergeCell ref="H180:I180"/>
    <mergeCell ref="D181:E181"/>
    <mergeCell ref="F181:G181"/>
    <mergeCell ref="H181:I181"/>
    <mergeCell ref="D182:E182"/>
    <mergeCell ref="F182:G182"/>
    <mergeCell ref="H182:I182"/>
    <mergeCell ref="D183:E183"/>
    <mergeCell ref="F183:G183"/>
    <mergeCell ref="H183:I183"/>
    <mergeCell ref="D184:E184"/>
    <mergeCell ref="F184:G184"/>
    <mergeCell ref="H184:I184"/>
    <mergeCell ref="D185:E185"/>
    <mergeCell ref="F185:G185"/>
    <mergeCell ref="H185:I185"/>
    <mergeCell ref="F192:G192"/>
    <mergeCell ref="H192:I192"/>
    <mergeCell ref="D193:E193"/>
    <mergeCell ref="F193:G193"/>
    <mergeCell ref="H193:I193"/>
    <mergeCell ref="D165:E165"/>
    <mergeCell ref="F165:G165"/>
    <mergeCell ref="H165:I165"/>
    <mergeCell ref="D166:E166"/>
    <mergeCell ref="F166:G166"/>
    <mergeCell ref="H166:I166"/>
    <mergeCell ref="D167:E167"/>
    <mergeCell ref="F167:G167"/>
    <mergeCell ref="H167:I167"/>
    <mergeCell ref="H147:I147"/>
    <mergeCell ref="D148:E148"/>
    <mergeCell ref="F148:G148"/>
    <mergeCell ref="H148:I148"/>
    <mergeCell ref="D149:E149"/>
    <mergeCell ref="F149:G149"/>
    <mergeCell ref="H149:I149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H157:I157"/>
    <mergeCell ref="D158:E158"/>
    <mergeCell ref="F158:G158"/>
    <mergeCell ref="H158:I158"/>
    <mergeCell ref="D147:E147"/>
    <mergeCell ref="F147:G147"/>
    <mergeCell ref="D135:E135"/>
    <mergeCell ref="F135:G135"/>
    <mergeCell ref="H135:I135"/>
    <mergeCell ref="D136:E136"/>
    <mergeCell ref="F136:G136"/>
    <mergeCell ref="H136:I136"/>
    <mergeCell ref="D137:E137"/>
    <mergeCell ref="F137:G137"/>
    <mergeCell ref="H137:I137"/>
    <mergeCell ref="D138:E138"/>
    <mergeCell ref="F138:G138"/>
    <mergeCell ref="H138:I138"/>
    <mergeCell ref="D139:E139"/>
    <mergeCell ref="F139:G139"/>
    <mergeCell ref="H139:I139"/>
    <mergeCell ref="D140:E140"/>
    <mergeCell ref="F140:G140"/>
    <mergeCell ref="H140:I140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H125:I125"/>
    <mergeCell ref="D126:E126"/>
    <mergeCell ref="F126:G126"/>
    <mergeCell ref="H126:I126"/>
    <mergeCell ref="D127:E127"/>
    <mergeCell ref="F127:G127"/>
    <mergeCell ref="H127:I127"/>
    <mergeCell ref="D119:E11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D113:E113"/>
    <mergeCell ref="F113:G113"/>
    <mergeCell ref="H113:I113"/>
    <mergeCell ref="H116:I116"/>
    <mergeCell ref="D117:E117"/>
    <mergeCell ref="F117:G117"/>
    <mergeCell ref="H117:I117"/>
    <mergeCell ref="D109:E109"/>
    <mergeCell ref="F109:G109"/>
    <mergeCell ref="D92:E92"/>
    <mergeCell ref="F92:G92"/>
    <mergeCell ref="H92:I92"/>
    <mergeCell ref="D93:E93"/>
    <mergeCell ref="F93:G93"/>
    <mergeCell ref="H93:I93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D102:E102"/>
    <mergeCell ref="F102:G102"/>
    <mergeCell ref="H102:I102"/>
    <mergeCell ref="B192:C192"/>
    <mergeCell ref="B193:C193"/>
    <mergeCell ref="B194:C194"/>
    <mergeCell ref="B195:C195"/>
    <mergeCell ref="B196:C196"/>
    <mergeCell ref="H72:I72"/>
    <mergeCell ref="J72:K72"/>
    <mergeCell ref="D72:E72"/>
    <mergeCell ref="F72:G72"/>
    <mergeCell ref="D73:E73"/>
    <mergeCell ref="F73:G73"/>
    <mergeCell ref="H73:I73"/>
    <mergeCell ref="D74:E74"/>
    <mergeCell ref="F74:G74"/>
    <mergeCell ref="H74:I74"/>
    <mergeCell ref="D75:E75"/>
    <mergeCell ref="F75:G75"/>
    <mergeCell ref="H75:I75"/>
    <mergeCell ref="D76:E76"/>
    <mergeCell ref="F76:G76"/>
    <mergeCell ref="H76:I76"/>
    <mergeCell ref="D77:E77"/>
    <mergeCell ref="F77:G77"/>
    <mergeCell ref="H77:I77"/>
    <mergeCell ref="D78:E78"/>
    <mergeCell ref="F78:G78"/>
    <mergeCell ref="H78:I78"/>
    <mergeCell ref="D79:E79"/>
    <mergeCell ref="F79:G79"/>
    <mergeCell ref="H79:I79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186:C186"/>
    <mergeCell ref="B187:C187"/>
    <mergeCell ref="B188:C188"/>
    <mergeCell ref="B174:C174"/>
    <mergeCell ref="B175:C175"/>
    <mergeCell ref="B176:C176"/>
    <mergeCell ref="B177:C177"/>
    <mergeCell ref="B178:C178"/>
    <mergeCell ref="B179:C179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89:C189"/>
    <mergeCell ref="B190:C190"/>
    <mergeCell ref="B191:C191"/>
    <mergeCell ref="D186:E186"/>
    <mergeCell ref="F186:G186"/>
    <mergeCell ref="H186:I186"/>
    <mergeCell ref="D187:E187"/>
    <mergeCell ref="F187:G187"/>
    <mergeCell ref="H187:I187"/>
    <mergeCell ref="D188:E188"/>
    <mergeCell ref="F188:G188"/>
    <mergeCell ref="B180:C180"/>
    <mergeCell ref="B181:C181"/>
    <mergeCell ref="B182:C182"/>
    <mergeCell ref="B183:C183"/>
    <mergeCell ref="B184:C184"/>
    <mergeCell ref="B185:C185"/>
    <mergeCell ref="D177:E177"/>
    <mergeCell ref="F177:G177"/>
    <mergeCell ref="H177:I177"/>
    <mergeCell ref="D178:E178"/>
    <mergeCell ref="F178:G178"/>
    <mergeCell ref="H178:I178"/>
    <mergeCell ref="D179:E179"/>
    <mergeCell ref="F179:G179"/>
    <mergeCell ref="B168:C168"/>
    <mergeCell ref="B169:C169"/>
    <mergeCell ref="B170:C170"/>
    <mergeCell ref="B171:C171"/>
    <mergeCell ref="B172:C172"/>
    <mergeCell ref="B173:C173"/>
    <mergeCell ref="D168:E168"/>
    <mergeCell ref="F168:G168"/>
    <mergeCell ref="H168:I168"/>
    <mergeCell ref="D169:E169"/>
    <mergeCell ref="F169:G169"/>
    <mergeCell ref="H169:I169"/>
    <mergeCell ref="D170:E170"/>
    <mergeCell ref="F170:G170"/>
    <mergeCell ref="D175:E175"/>
    <mergeCell ref="F175:G175"/>
    <mergeCell ref="H175:I175"/>
    <mergeCell ref="D176:E176"/>
    <mergeCell ref="F176:G176"/>
    <mergeCell ref="H176:I176"/>
    <mergeCell ref="H134:I134"/>
    <mergeCell ref="B159:C159"/>
    <mergeCell ref="B160:C160"/>
    <mergeCell ref="B161:C161"/>
    <mergeCell ref="D159:E159"/>
    <mergeCell ref="F159:G159"/>
    <mergeCell ref="H159:I159"/>
    <mergeCell ref="D160:E160"/>
    <mergeCell ref="F160:G160"/>
    <mergeCell ref="H160:I160"/>
    <mergeCell ref="D161:E161"/>
    <mergeCell ref="F161:G161"/>
    <mergeCell ref="B150:C150"/>
    <mergeCell ref="B151:C151"/>
    <mergeCell ref="B152:C152"/>
    <mergeCell ref="B153:C153"/>
    <mergeCell ref="B154:C154"/>
    <mergeCell ref="B155:C155"/>
    <mergeCell ref="D150:E150"/>
    <mergeCell ref="F150:G150"/>
    <mergeCell ref="H150:I150"/>
    <mergeCell ref="D151:E151"/>
    <mergeCell ref="F151:G151"/>
    <mergeCell ref="H151:I151"/>
    <mergeCell ref="D152:E152"/>
    <mergeCell ref="F152:G152"/>
    <mergeCell ref="D156:E156"/>
    <mergeCell ref="F156:G156"/>
    <mergeCell ref="H156:I156"/>
    <mergeCell ref="D157:E157"/>
    <mergeCell ref="F157:G157"/>
    <mergeCell ref="H161:I16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D146:E146"/>
    <mergeCell ref="F146:G146"/>
    <mergeCell ref="H146:I146"/>
    <mergeCell ref="B132:C132"/>
    <mergeCell ref="B133:C133"/>
    <mergeCell ref="B134:C134"/>
    <mergeCell ref="B135:C135"/>
    <mergeCell ref="B136:C136"/>
    <mergeCell ref="B137:C137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B126:C126"/>
    <mergeCell ref="B127:C127"/>
    <mergeCell ref="B128:C128"/>
    <mergeCell ref="B129:C129"/>
    <mergeCell ref="B130:C130"/>
    <mergeCell ref="B131:C131"/>
    <mergeCell ref="D128:E128"/>
    <mergeCell ref="F128:G128"/>
    <mergeCell ref="H128:I128"/>
    <mergeCell ref="D129:E129"/>
    <mergeCell ref="F129:G129"/>
    <mergeCell ref="H129:I129"/>
    <mergeCell ref="D130:E130"/>
    <mergeCell ref="F130:G130"/>
    <mergeCell ref="H130:I130"/>
    <mergeCell ref="D131:E131"/>
    <mergeCell ref="F131:G131"/>
    <mergeCell ref="H131:I131"/>
    <mergeCell ref="H108:I108"/>
    <mergeCell ref="B120:C120"/>
    <mergeCell ref="B121:C121"/>
    <mergeCell ref="B122:C122"/>
    <mergeCell ref="B123:C123"/>
    <mergeCell ref="B124:C124"/>
    <mergeCell ref="B125:C125"/>
    <mergeCell ref="D123:E123"/>
    <mergeCell ref="F123:G123"/>
    <mergeCell ref="H123:I123"/>
    <mergeCell ref="D124:E124"/>
    <mergeCell ref="F124:G124"/>
    <mergeCell ref="H124:I124"/>
    <mergeCell ref="D125:E125"/>
    <mergeCell ref="F125:G125"/>
    <mergeCell ref="B114:C114"/>
    <mergeCell ref="B115:C115"/>
    <mergeCell ref="B116:C116"/>
    <mergeCell ref="B117:C117"/>
    <mergeCell ref="B118:C118"/>
    <mergeCell ref="B119:C119"/>
    <mergeCell ref="D114:E114"/>
    <mergeCell ref="F114:G114"/>
    <mergeCell ref="H114:I114"/>
    <mergeCell ref="D115:E115"/>
    <mergeCell ref="F115:G115"/>
    <mergeCell ref="H115:I115"/>
    <mergeCell ref="D116:E116"/>
    <mergeCell ref="F116:G116"/>
    <mergeCell ref="D118:E118"/>
    <mergeCell ref="F118:G118"/>
    <mergeCell ref="H118:I118"/>
    <mergeCell ref="D91:E91"/>
    <mergeCell ref="F91:G91"/>
    <mergeCell ref="H91:I91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D105:E105"/>
    <mergeCell ref="F105:G105"/>
    <mergeCell ref="H105:I105"/>
    <mergeCell ref="D106:E106"/>
    <mergeCell ref="F106:G106"/>
    <mergeCell ref="H106:I106"/>
    <mergeCell ref="D107:E107"/>
    <mergeCell ref="F107:G107"/>
    <mergeCell ref="D103:E103"/>
    <mergeCell ref="F103:G103"/>
    <mergeCell ref="H103:I103"/>
    <mergeCell ref="D104:E104"/>
    <mergeCell ref="F104:G104"/>
    <mergeCell ref="H104:I104"/>
    <mergeCell ref="H107:I107"/>
    <mergeCell ref="D108:E108"/>
    <mergeCell ref="F108:G108"/>
    <mergeCell ref="W221:X221"/>
    <mergeCell ref="F89:G89"/>
    <mergeCell ref="H89:I89"/>
    <mergeCell ref="B96:C96"/>
    <mergeCell ref="B97:C97"/>
    <mergeCell ref="B98:C98"/>
    <mergeCell ref="B99:C99"/>
    <mergeCell ref="B100:C100"/>
    <mergeCell ref="B101:C101"/>
    <mergeCell ref="D96:E96"/>
    <mergeCell ref="F96:G96"/>
    <mergeCell ref="H96:I96"/>
    <mergeCell ref="D97:E97"/>
    <mergeCell ref="F97:G97"/>
    <mergeCell ref="H97:I97"/>
    <mergeCell ref="D98:E98"/>
    <mergeCell ref="F98:G98"/>
    <mergeCell ref="B90:C90"/>
    <mergeCell ref="B91:C91"/>
    <mergeCell ref="B92:C92"/>
    <mergeCell ref="B93:C93"/>
    <mergeCell ref="B94:C94"/>
    <mergeCell ref="B95:C95"/>
    <mergeCell ref="D94:E94"/>
    <mergeCell ref="F94:G94"/>
    <mergeCell ref="H94:I94"/>
    <mergeCell ref="D95:E95"/>
    <mergeCell ref="F95:G95"/>
    <mergeCell ref="H95:I95"/>
    <mergeCell ref="D90:E90"/>
    <mergeCell ref="F90:G90"/>
    <mergeCell ref="H90:I90"/>
    <mergeCell ref="B88:C88"/>
    <mergeCell ref="B89:C89"/>
    <mergeCell ref="D84:E84"/>
    <mergeCell ref="F84:G84"/>
    <mergeCell ref="H84:I84"/>
    <mergeCell ref="D85:E85"/>
    <mergeCell ref="F85:G85"/>
    <mergeCell ref="H85:I85"/>
    <mergeCell ref="D86:E86"/>
    <mergeCell ref="F86:G86"/>
    <mergeCell ref="H86:I86"/>
    <mergeCell ref="D87:E87"/>
    <mergeCell ref="F87:G87"/>
    <mergeCell ref="H87:I87"/>
    <mergeCell ref="D80:E80"/>
    <mergeCell ref="F80:G80"/>
    <mergeCell ref="H80:I80"/>
    <mergeCell ref="D81:E81"/>
    <mergeCell ref="F81:G81"/>
    <mergeCell ref="H81:I81"/>
    <mergeCell ref="D82:E82"/>
    <mergeCell ref="F82:G82"/>
    <mergeCell ref="H82:I82"/>
    <mergeCell ref="D83:E83"/>
    <mergeCell ref="F83:G83"/>
    <mergeCell ref="H83:I83"/>
    <mergeCell ref="D88:E88"/>
    <mergeCell ref="F88:G88"/>
    <mergeCell ref="H88:I88"/>
    <mergeCell ref="D89:E89"/>
    <mergeCell ref="W223:X223"/>
    <mergeCell ref="AB223:AC223"/>
    <mergeCell ref="W241:X241"/>
    <mergeCell ref="AB241:AC241"/>
    <mergeCell ref="W242:X242"/>
    <mergeCell ref="AB242:AC242"/>
    <mergeCell ref="W243:X243"/>
    <mergeCell ref="AB243:AC243"/>
    <mergeCell ref="W244:X244"/>
    <mergeCell ref="AB244:AC244"/>
    <mergeCell ref="W245:X245"/>
    <mergeCell ref="AB245:AC245"/>
    <mergeCell ref="W224:X224"/>
    <mergeCell ref="AB224:AC224"/>
    <mergeCell ref="W225:X225"/>
    <mergeCell ref="AB225:AC225"/>
    <mergeCell ref="W226:X226"/>
    <mergeCell ref="AB226:AC226"/>
    <mergeCell ref="W227:X227"/>
    <mergeCell ref="AB227:AC227"/>
    <mergeCell ref="W236:X236"/>
    <mergeCell ref="AB236:AC236"/>
    <mergeCell ref="W237:X237"/>
    <mergeCell ref="AB237:AC237"/>
    <mergeCell ref="W238:X238"/>
    <mergeCell ref="AB238:AC238"/>
    <mergeCell ref="W239:X239"/>
    <mergeCell ref="AB239:AC239"/>
    <mergeCell ref="AB240:AC240"/>
    <mergeCell ref="AA393:AB393"/>
    <mergeCell ref="AC393:AD393"/>
    <mergeCell ref="U389:V389"/>
    <mergeCell ref="W389:X389"/>
    <mergeCell ref="Y389:Z389"/>
    <mergeCell ref="AA389:AB389"/>
    <mergeCell ref="AC389:AD389"/>
    <mergeCell ref="U390:V390"/>
    <mergeCell ref="W390:X390"/>
    <mergeCell ref="Y390:Z390"/>
    <mergeCell ref="AA390:AB390"/>
    <mergeCell ref="AC390:AD390"/>
    <mergeCell ref="U391:V391"/>
    <mergeCell ref="W391:X391"/>
    <mergeCell ref="Y391:Z391"/>
    <mergeCell ref="AA391:AB391"/>
    <mergeCell ref="AC391:AD391"/>
    <mergeCell ref="W388:X388"/>
    <mergeCell ref="Y388:Z388"/>
    <mergeCell ref="AA388:AB388"/>
    <mergeCell ref="AC388:AD388"/>
    <mergeCell ref="B203:C203"/>
    <mergeCell ref="D203:E203"/>
    <mergeCell ref="F203:G203"/>
    <mergeCell ref="H203:I203"/>
    <mergeCell ref="B204:C204"/>
    <mergeCell ref="D204:E204"/>
    <mergeCell ref="F204:G204"/>
    <mergeCell ref="H204:I204"/>
    <mergeCell ref="B205:C205"/>
    <mergeCell ref="D205:E205"/>
    <mergeCell ref="F205:G205"/>
    <mergeCell ref="H205:I205"/>
    <mergeCell ref="W215:X215"/>
    <mergeCell ref="AB215:AC215"/>
    <mergeCell ref="W216:X216"/>
    <mergeCell ref="AB216:AC216"/>
    <mergeCell ref="W217:X217"/>
    <mergeCell ref="AB217:AC217"/>
    <mergeCell ref="W218:X218"/>
    <mergeCell ref="AB218:AC218"/>
    <mergeCell ref="W219:X219"/>
    <mergeCell ref="AB219:AC219"/>
    <mergeCell ref="W220:X220"/>
    <mergeCell ref="AB220:AC220"/>
    <mergeCell ref="U380:V380"/>
    <mergeCell ref="AB221:AC221"/>
    <mergeCell ref="W222:X222"/>
    <mergeCell ref="AB222:AC222"/>
    <mergeCell ref="AA380:AB380"/>
    <mergeCell ref="AC380:AD380"/>
    <mergeCell ref="U381:V381"/>
    <mergeCell ref="W381:X381"/>
    <mergeCell ref="Y381:Z381"/>
    <mergeCell ref="AA381:AB381"/>
    <mergeCell ref="AC381:AD381"/>
    <mergeCell ref="U382:V382"/>
    <mergeCell ref="W382:X382"/>
    <mergeCell ref="Y382:Z382"/>
    <mergeCell ref="AA382:AB382"/>
    <mergeCell ref="AC382:AD382"/>
    <mergeCell ref="U392:V392"/>
    <mergeCell ref="W392:X392"/>
    <mergeCell ref="Y392:Z392"/>
    <mergeCell ref="AA392:AB392"/>
    <mergeCell ref="AC392:AD392"/>
    <mergeCell ref="U383:V383"/>
    <mergeCell ref="W383:X383"/>
    <mergeCell ref="Y383:Z383"/>
    <mergeCell ref="AA383:AB383"/>
    <mergeCell ref="AC383:AD383"/>
    <mergeCell ref="U384:V384"/>
    <mergeCell ref="W384:X384"/>
    <mergeCell ref="Y384:Z384"/>
    <mergeCell ref="AA384:AB384"/>
    <mergeCell ref="AC384:AD384"/>
    <mergeCell ref="U387:V387"/>
    <mergeCell ref="W387:X387"/>
    <mergeCell ref="AA387:AB387"/>
    <mergeCell ref="AC387:AD387"/>
    <mergeCell ref="U388:V388"/>
    <mergeCell ref="AA365:AB365"/>
    <mergeCell ref="AC365:AD365"/>
    <mergeCell ref="U367:V367"/>
    <mergeCell ref="W367:X367"/>
    <mergeCell ref="Y367:Z367"/>
    <mergeCell ref="AA367:AB367"/>
    <mergeCell ref="AC367:AD367"/>
    <mergeCell ref="U368:V368"/>
    <mergeCell ref="W368:X368"/>
    <mergeCell ref="Y368:Z368"/>
    <mergeCell ref="AA368:AB368"/>
    <mergeCell ref="AC368:AD368"/>
    <mergeCell ref="U377:V377"/>
    <mergeCell ref="W377:X377"/>
    <mergeCell ref="Y377:Z377"/>
    <mergeCell ref="AA377:AB377"/>
    <mergeCell ref="AC377:AD377"/>
    <mergeCell ref="W365:X365"/>
    <mergeCell ref="Y365:Z365"/>
    <mergeCell ref="AA361:AB361"/>
    <mergeCell ref="AC361:AD361"/>
    <mergeCell ref="U362:V362"/>
    <mergeCell ref="W362:X362"/>
    <mergeCell ref="Y362:Z362"/>
    <mergeCell ref="AA362:AB362"/>
    <mergeCell ref="AC362:AD362"/>
    <mergeCell ref="U363:V363"/>
    <mergeCell ref="W363:X363"/>
    <mergeCell ref="Y363:Z363"/>
    <mergeCell ref="AA363:AB363"/>
    <mergeCell ref="AC363:AD363"/>
    <mergeCell ref="U364:V364"/>
    <mergeCell ref="W364:X364"/>
    <mergeCell ref="Y364:Z364"/>
    <mergeCell ref="AA364:AB364"/>
    <mergeCell ref="AC364:AD364"/>
    <mergeCell ref="U361:V361"/>
    <mergeCell ref="W361:X361"/>
    <mergeCell ref="Y361:Z361"/>
    <mergeCell ref="Y357:Z357"/>
    <mergeCell ref="AA357:AB357"/>
    <mergeCell ref="AC357:AD357"/>
    <mergeCell ref="U358:V358"/>
    <mergeCell ref="W358:X358"/>
    <mergeCell ref="Y358:Z358"/>
    <mergeCell ref="AA358:AB358"/>
    <mergeCell ref="AC358:AD358"/>
    <mergeCell ref="U359:V359"/>
    <mergeCell ref="W359:X359"/>
    <mergeCell ref="Y359:Z359"/>
    <mergeCell ref="AA359:AB359"/>
    <mergeCell ref="AC359:AD359"/>
    <mergeCell ref="U360:V360"/>
    <mergeCell ref="W360:X360"/>
    <mergeCell ref="Y360:Z360"/>
    <mergeCell ref="AA360:AB360"/>
    <mergeCell ref="AC360:AD360"/>
    <mergeCell ref="U357:V357"/>
    <mergeCell ref="W357:X357"/>
    <mergeCell ref="U349:V349"/>
    <mergeCell ref="W349:X349"/>
    <mergeCell ref="Y349:Z349"/>
    <mergeCell ref="AA349:AB349"/>
    <mergeCell ref="AC349:AD349"/>
    <mergeCell ref="U354:V354"/>
    <mergeCell ref="W354:X354"/>
    <mergeCell ref="Y354:Z354"/>
    <mergeCell ref="AA354:AB354"/>
    <mergeCell ref="AC354:AD354"/>
    <mergeCell ref="U355:V355"/>
    <mergeCell ref="W355:X355"/>
    <mergeCell ref="Y355:Z355"/>
    <mergeCell ref="AA355:AB355"/>
    <mergeCell ref="AC355:AD355"/>
    <mergeCell ref="U356:V356"/>
    <mergeCell ref="W356:X356"/>
    <mergeCell ref="Y356:Z356"/>
    <mergeCell ref="AA356:AB356"/>
    <mergeCell ref="AC356:AD356"/>
    <mergeCell ref="U345:V345"/>
    <mergeCell ref="W345:X345"/>
    <mergeCell ref="Y345:Z345"/>
    <mergeCell ref="AA345:AB345"/>
    <mergeCell ref="AC345:AD345"/>
    <mergeCell ref="U346:V346"/>
    <mergeCell ref="W346:X346"/>
    <mergeCell ref="Y346:Z346"/>
    <mergeCell ref="AA346:AB346"/>
    <mergeCell ref="AC346:AD346"/>
    <mergeCell ref="U347:V347"/>
    <mergeCell ref="W347:X347"/>
    <mergeCell ref="Y347:Z347"/>
    <mergeCell ref="AA347:AB347"/>
    <mergeCell ref="AC347:AD347"/>
    <mergeCell ref="U348:V348"/>
    <mergeCell ref="W348:X348"/>
    <mergeCell ref="Y348:Z348"/>
    <mergeCell ref="AA348:AB348"/>
    <mergeCell ref="AC348:AD348"/>
    <mergeCell ref="U341:V341"/>
    <mergeCell ref="W341:X341"/>
    <mergeCell ref="Y341:Z341"/>
    <mergeCell ref="AA341:AB341"/>
    <mergeCell ref="AC341:AD341"/>
    <mergeCell ref="U342:V342"/>
    <mergeCell ref="W342:X342"/>
    <mergeCell ref="Y342:Z342"/>
    <mergeCell ref="AA342:AB342"/>
    <mergeCell ref="AC342:AD342"/>
    <mergeCell ref="U343:V343"/>
    <mergeCell ref="W343:X343"/>
    <mergeCell ref="Y343:Z343"/>
    <mergeCell ref="AA343:AB343"/>
    <mergeCell ref="AC343:AD343"/>
    <mergeCell ref="U344:V344"/>
    <mergeCell ref="W344:X344"/>
    <mergeCell ref="Y344:Z344"/>
    <mergeCell ref="AA344:AB344"/>
    <mergeCell ref="AC344:AD344"/>
    <mergeCell ref="U337:V337"/>
    <mergeCell ref="W337:X337"/>
    <mergeCell ref="Y337:Z337"/>
    <mergeCell ref="AA337:AB337"/>
    <mergeCell ref="AC337:AD337"/>
    <mergeCell ref="U338:V338"/>
    <mergeCell ref="W338:X338"/>
    <mergeCell ref="Y338:Z338"/>
    <mergeCell ref="AA338:AB338"/>
    <mergeCell ref="AC338:AD338"/>
    <mergeCell ref="U339:V339"/>
    <mergeCell ref="W339:X339"/>
    <mergeCell ref="Y339:Z339"/>
    <mergeCell ref="AA339:AB339"/>
    <mergeCell ref="AC339:AD339"/>
    <mergeCell ref="U340:V340"/>
    <mergeCell ref="W340:X340"/>
    <mergeCell ref="Y340:Z340"/>
    <mergeCell ref="AA340:AB340"/>
    <mergeCell ref="AC340:AD340"/>
    <mergeCell ref="U333:V333"/>
    <mergeCell ref="W333:X333"/>
    <mergeCell ref="Y333:Z333"/>
    <mergeCell ref="AA333:AB333"/>
    <mergeCell ref="AC333:AD333"/>
    <mergeCell ref="U334:V334"/>
    <mergeCell ref="W334:X334"/>
    <mergeCell ref="Y334:Z334"/>
    <mergeCell ref="AA334:AB334"/>
    <mergeCell ref="AC334:AD334"/>
    <mergeCell ref="U335:V335"/>
    <mergeCell ref="W335:X335"/>
    <mergeCell ref="Y335:Z335"/>
    <mergeCell ref="AA335:AB335"/>
    <mergeCell ref="AC335:AD335"/>
    <mergeCell ref="U336:V336"/>
    <mergeCell ref="W336:X336"/>
    <mergeCell ref="Y336:Z336"/>
    <mergeCell ref="AA336:AB336"/>
    <mergeCell ref="AC336:AD336"/>
    <mergeCell ref="U328:V328"/>
    <mergeCell ref="W328:X328"/>
    <mergeCell ref="Y328:Z328"/>
    <mergeCell ref="AA328:AB328"/>
    <mergeCell ref="AC328:AD328"/>
    <mergeCell ref="U330:V330"/>
    <mergeCell ref="W330:X330"/>
    <mergeCell ref="Y330:Z330"/>
    <mergeCell ref="AA330:AB330"/>
    <mergeCell ref="AC330:AD330"/>
    <mergeCell ref="U331:V331"/>
    <mergeCell ref="W331:X331"/>
    <mergeCell ref="Y331:Z331"/>
    <mergeCell ref="AA331:AB331"/>
    <mergeCell ref="AC331:AD331"/>
    <mergeCell ref="U332:V332"/>
    <mergeCell ref="W332:X332"/>
    <mergeCell ref="Y332:Z332"/>
    <mergeCell ref="AA332:AB332"/>
    <mergeCell ref="AC332:AD332"/>
    <mergeCell ref="U324:V324"/>
    <mergeCell ref="W324:X324"/>
    <mergeCell ref="Y324:Z324"/>
    <mergeCell ref="AA324:AB324"/>
    <mergeCell ref="AC324:AD324"/>
    <mergeCell ref="U325:V325"/>
    <mergeCell ref="W325:X325"/>
    <mergeCell ref="Y325:Z325"/>
    <mergeCell ref="AA325:AB325"/>
    <mergeCell ref="AC325:AD325"/>
    <mergeCell ref="U326:V326"/>
    <mergeCell ref="W326:X326"/>
    <mergeCell ref="Y326:Z326"/>
    <mergeCell ref="AA326:AB326"/>
    <mergeCell ref="AC326:AD326"/>
    <mergeCell ref="U327:V327"/>
    <mergeCell ref="W327:X327"/>
    <mergeCell ref="Y327:Z327"/>
    <mergeCell ref="AA327:AB327"/>
    <mergeCell ref="AC327:AD327"/>
    <mergeCell ref="U319:V319"/>
    <mergeCell ref="W319:X319"/>
    <mergeCell ref="Y319:Z319"/>
    <mergeCell ref="AA319:AB319"/>
    <mergeCell ref="AC319:AD319"/>
    <mergeCell ref="U320:V320"/>
    <mergeCell ref="W320:X320"/>
    <mergeCell ref="Y320:Z320"/>
    <mergeCell ref="AA320:AB320"/>
    <mergeCell ref="AC320:AD320"/>
    <mergeCell ref="U322:V322"/>
    <mergeCell ref="W322:X322"/>
    <mergeCell ref="Y322:Z322"/>
    <mergeCell ref="AA322:AB322"/>
    <mergeCell ref="AC322:AD322"/>
    <mergeCell ref="U323:V323"/>
    <mergeCell ref="W323:X323"/>
    <mergeCell ref="Y323:Z323"/>
    <mergeCell ref="AA323:AB323"/>
    <mergeCell ref="AC323:AD323"/>
    <mergeCell ref="U315:V315"/>
    <mergeCell ref="W315:X315"/>
    <mergeCell ref="Y315:Z315"/>
    <mergeCell ref="AA315:AB315"/>
    <mergeCell ref="AC315:AD315"/>
    <mergeCell ref="U316:V316"/>
    <mergeCell ref="W316:X316"/>
    <mergeCell ref="Y316:Z316"/>
    <mergeCell ref="AA316:AB316"/>
    <mergeCell ref="AC316:AD316"/>
    <mergeCell ref="U317:V317"/>
    <mergeCell ref="W317:X317"/>
    <mergeCell ref="Y317:Z317"/>
    <mergeCell ref="AA317:AB317"/>
    <mergeCell ref="AC317:AD317"/>
    <mergeCell ref="U318:V318"/>
    <mergeCell ref="W318:X318"/>
    <mergeCell ref="Y318:Z318"/>
    <mergeCell ref="AA318:AB318"/>
    <mergeCell ref="AC318:AD318"/>
    <mergeCell ref="U311:V311"/>
    <mergeCell ref="W311:X311"/>
    <mergeCell ref="Y311:Z311"/>
    <mergeCell ref="AA311:AB311"/>
    <mergeCell ref="AC311:AD311"/>
    <mergeCell ref="U312:V312"/>
    <mergeCell ref="W312:X312"/>
    <mergeCell ref="Y312:Z312"/>
    <mergeCell ref="AA312:AB312"/>
    <mergeCell ref="AC312:AD312"/>
    <mergeCell ref="U313:V313"/>
    <mergeCell ref="W313:X313"/>
    <mergeCell ref="Y313:Z313"/>
    <mergeCell ref="AA313:AB313"/>
    <mergeCell ref="AC313:AD313"/>
    <mergeCell ref="U314:V314"/>
    <mergeCell ref="W314:X314"/>
    <mergeCell ref="Y314:Z314"/>
    <mergeCell ref="AA314:AB314"/>
    <mergeCell ref="AC314:AD314"/>
    <mergeCell ref="U307:V307"/>
    <mergeCell ref="W307:X307"/>
    <mergeCell ref="Y307:Z307"/>
    <mergeCell ref="AA307:AB307"/>
    <mergeCell ref="AC307:AD307"/>
    <mergeCell ref="U308:V308"/>
    <mergeCell ref="W308:X308"/>
    <mergeCell ref="Y308:Z308"/>
    <mergeCell ref="AA308:AB308"/>
    <mergeCell ref="AC308:AD308"/>
    <mergeCell ref="U309:V309"/>
    <mergeCell ref="W309:X309"/>
    <mergeCell ref="Y309:Z309"/>
    <mergeCell ref="AA309:AB309"/>
    <mergeCell ref="AC309:AD309"/>
    <mergeCell ref="U310:V310"/>
    <mergeCell ref="W310:X310"/>
    <mergeCell ref="Y310:Z310"/>
    <mergeCell ref="AA310:AB310"/>
    <mergeCell ref="AC310:AD310"/>
    <mergeCell ref="U303:V303"/>
    <mergeCell ref="W303:X303"/>
    <mergeCell ref="Y303:Z303"/>
    <mergeCell ref="AA303:AB303"/>
    <mergeCell ref="AC303:AD303"/>
    <mergeCell ref="U304:V304"/>
    <mergeCell ref="W304:X304"/>
    <mergeCell ref="Y304:Z304"/>
    <mergeCell ref="AA304:AB304"/>
    <mergeCell ref="AC304:AD304"/>
    <mergeCell ref="U305:V305"/>
    <mergeCell ref="W305:X305"/>
    <mergeCell ref="Y305:Z305"/>
    <mergeCell ref="AA305:AB305"/>
    <mergeCell ref="AC305:AD305"/>
    <mergeCell ref="U306:V306"/>
    <mergeCell ref="W306:X306"/>
    <mergeCell ref="Y306:Z306"/>
    <mergeCell ref="AA306:AB306"/>
    <mergeCell ref="AC306:AD306"/>
    <mergeCell ref="U299:V299"/>
    <mergeCell ref="W299:X299"/>
    <mergeCell ref="Y299:Z299"/>
    <mergeCell ref="AA299:AB299"/>
    <mergeCell ref="AC299:AD299"/>
    <mergeCell ref="U300:V300"/>
    <mergeCell ref="W300:X300"/>
    <mergeCell ref="Y300:Z300"/>
    <mergeCell ref="AA300:AB300"/>
    <mergeCell ref="AC300:AD300"/>
    <mergeCell ref="U301:V301"/>
    <mergeCell ref="W301:X301"/>
    <mergeCell ref="Y301:Z301"/>
    <mergeCell ref="AA301:AB301"/>
    <mergeCell ref="AC301:AD301"/>
    <mergeCell ref="U302:V302"/>
    <mergeCell ref="W302:X302"/>
    <mergeCell ref="Y302:Z302"/>
    <mergeCell ref="AA302:AB302"/>
    <mergeCell ref="AC302:AD302"/>
    <mergeCell ref="U291:V291"/>
    <mergeCell ref="W291:X291"/>
    <mergeCell ref="Y291:Z291"/>
    <mergeCell ref="AA291:AB291"/>
    <mergeCell ref="AC291:AD291"/>
    <mergeCell ref="U292:V292"/>
    <mergeCell ref="W292:X292"/>
    <mergeCell ref="Y292:Z292"/>
    <mergeCell ref="AA292:AB292"/>
    <mergeCell ref="AC292:AD292"/>
    <mergeCell ref="U297:V297"/>
    <mergeCell ref="W297:X297"/>
    <mergeCell ref="Y297:Z297"/>
    <mergeCell ref="AA297:AB297"/>
    <mergeCell ref="AC297:AD297"/>
    <mergeCell ref="U298:V298"/>
    <mergeCell ref="W298:X298"/>
    <mergeCell ref="Y298:Z298"/>
    <mergeCell ref="AA298:AB298"/>
    <mergeCell ref="AC298:AD298"/>
    <mergeCell ref="U286:V286"/>
    <mergeCell ref="W286:X286"/>
    <mergeCell ref="Y286:Z286"/>
    <mergeCell ref="AA286:AB286"/>
    <mergeCell ref="AC286:AD286"/>
    <mergeCell ref="U287:V287"/>
    <mergeCell ref="W287:X287"/>
    <mergeCell ref="Y287:Z287"/>
    <mergeCell ref="AA287:AB287"/>
    <mergeCell ref="AC287:AD287"/>
    <mergeCell ref="U288:V288"/>
    <mergeCell ref="W288:X288"/>
    <mergeCell ref="Y288:Z288"/>
    <mergeCell ref="AA288:AB288"/>
    <mergeCell ref="AC288:AD288"/>
    <mergeCell ref="U290:V290"/>
    <mergeCell ref="W290:X290"/>
    <mergeCell ref="Y290:Z290"/>
    <mergeCell ref="AA290:AB290"/>
    <mergeCell ref="AC290:AD290"/>
    <mergeCell ref="U282:V282"/>
    <mergeCell ref="W282:X282"/>
    <mergeCell ref="Y282:Z282"/>
    <mergeCell ref="AA282:AB282"/>
    <mergeCell ref="AC282:AD282"/>
    <mergeCell ref="U283:V283"/>
    <mergeCell ref="W283:X283"/>
    <mergeCell ref="Y283:Z283"/>
    <mergeCell ref="AA283:AB283"/>
    <mergeCell ref="AC283:AD283"/>
    <mergeCell ref="U284:V284"/>
    <mergeCell ref="W284:X284"/>
    <mergeCell ref="Y284:Z284"/>
    <mergeCell ref="AA284:AB284"/>
    <mergeCell ref="AC284:AD284"/>
    <mergeCell ref="U285:V285"/>
    <mergeCell ref="W285:X285"/>
    <mergeCell ref="Y285:Z285"/>
    <mergeCell ref="AA285:AB285"/>
    <mergeCell ref="AC285:AD285"/>
    <mergeCell ref="U278:V278"/>
    <mergeCell ref="W278:X278"/>
    <mergeCell ref="Y278:Z278"/>
    <mergeCell ref="AA278:AB278"/>
    <mergeCell ref="AC278:AD278"/>
    <mergeCell ref="U279:V279"/>
    <mergeCell ref="W279:X279"/>
    <mergeCell ref="Y279:Z279"/>
    <mergeCell ref="AA279:AB279"/>
    <mergeCell ref="AC279:AD279"/>
    <mergeCell ref="U280:V280"/>
    <mergeCell ref="W280:X280"/>
    <mergeCell ref="Y280:Z280"/>
    <mergeCell ref="AA280:AB280"/>
    <mergeCell ref="AC280:AD280"/>
    <mergeCell ref="U281:V281"/>
    <mergeCell ref="W281:X281"/>
    <mergeCell ref="Y281:Z281"/>
    <mergeCell ref="AA281:AB281"/>
    <mergeCell ref="AC281:AD281"/>
    <mergeCell ref="U274:V274"/>
    <mergeCell ref="W274:X274"/>
    <mergeCell ref="Y274:Z274"/>
    <mergeCell ref="AA274:AB274"/>
    <mergeCell ref="AC274:AD274"/>
    <mergeCell ref="U275:V275"/>
    <mergeCell ref="W275:X275"/>
    <mergeCell ref="Y275:Z275"/>
    <mergeCell ref="AA275:AB275"/>
    <mergeCell ref="AC275:AD275"/>
    <mergeCell ref="U276:V276"/>
    <mergeCell ref="W276:X276"/>
    <mergeCell ref="Y276:Z276"/>
    <mergeCell ref="AA276:AB276"/>
    <mergeCell ref="AC276:AD276"/>
    <mergeCell ref="U277:V277"/>
    <mergeCell ref="W277:X277"/>
    <mergeCell ref="Y277:Z277"/>
    <mergeCell ref="AA277:AB277"/>
    <mergeCell ref="AC277:AD277"/>
    <mergeCell ref="U270:V270"/>
    <mergeCell ref="W270:X270"/>
    <mergeCell ref="Y270:Z270"/>
    <mergeCell ref="AA270:AB270"/>
    <mergeCell ref="AC270:AD270"/>
    <mergeCell ref="U271:V271"/>
    <mergeCell ref="W271:X271"/>
    <mergeCell ref="Y271:Z271"/>
    <mergeCell ref="AA271:AB271"/>
    <mergeCell ref="AC271:AD271"/>
    <mergeCell ref="U272:V272"/>
    <mergeCell ref="W272:X272"/>
    <mergeCell ref="Y272:Z272"/>
    <mergeCell ref="AA272:AB272"/>
    <mergeCell ref="AC272:AD272"/>
    <mergeCell ref="U273:V273"/>
    <mergeCell ref="W273:X273"/>
    <mergeCell ref="Y273:Z273"/>
    <mergeCell ref="AA273:AB273"/>
    <mergeCell ref="AC273:AD273"/>
    <mergeCell ref="U266:V266"/>
    <mergeCell ref="W266:X266"/>
    <mergeCell ref="Y266:Z266"/>
    <mergeCell ref="AA266:AB266"/>
    <mergeCell ref="AC266:AD266"/>
    <mergeCell ref="U267:V267"/>
    <mergeCell ref="W267:X267"/>
    <mergeCell ref="Y267:Z267"/>
    <mergeCell ref="AA267:AB267"/>
    <mergeCell ref="AC267:AD267"/>
    <mergeCell ref="U268:V268"/>
    <mergeCell ref="W268:X268"/>
    <mergeCell ref="Y268:Z268"/>
    <mergeCell ref="AA268:AB268"/>
    <mergeCell ref="AC268:AD268"/>
    <mergeCell ref="U269:V269"/>
    <mergeCell ref="W269:X269"/>
    <mergeCell ref="Y269:Z269"/>
    <mergeCell ref="AA269:AB269"/>
    <mergeCell ref="AC269:AD269"/>
    <mergeCell ref="U262:V262"/>
    <mergeCell ref="W262:X262"/>
    <mergeCell ref="Y262:Z262"/>
    <mergeCell ref="AA262:AB262"/>
    <mergeCell ref="AC262:AD262"/>
    <mergeCell ref="U263:V263"/>
    <mergeCell ref="W263:X263"/>
    <mergeCell ref="Y263:Z263"/>
    <mergeCell ref="AA263:AB263"/>
    <mergeCell ref="AC263:AD263"/>
    <mergeCell ref="U264:V264"/>
    <mergeCell ref="W264:X264"/>
    <mergeCell ref="Y264:Z264"/>
    <mergeCell ref="AA264:AB264"/>
    <mergeCell ref="AC264:AD264"/>
    <mergeCell ref="U265:V265"/>
    <mergeCell ref="W265:X265"/>
    <mergeCell ref="Y265:Z265"/>
    <mergeCell ref="AA265:AB265"/>
    <mergeCell ref="AC265:AD265"/>
    <mergeCell ref="U258:V258"/>
    <mergeCell ref="W258:X258"/>
    <mergeCell ref="Y258:Z258"/>
    <mergeCell ref="AA258:AB258"/>
    <mergeCell ref="AC258:AD258"/>
    <mergeCell ref="U259:V259"/>
    <mergeCell ref="W259:X259"/>
    <mergeCell ref="Y259:Z259"/>
    <mergeCell ref="AA259:AB259"/>
    <mergeCell ref="AC259:AD259"/>
    <mergeCell ref="U260:V260"/>
    <mergeCell ref="W260:X260"/>
    <mergeCell ref="Y260:Z260"/>
    <mergeCell ref="AA260:AB260"/>
    <mergeCell ref="AC260:AD260"/>
    <mergeCell ref="U261:V261"/>
    <mergeCell ref="W261:X261"/>
    <mergeCell ref="Y261:Z261"/>
    <mergeCell ref="AA261:AB261"/>
    <mergeCell ref="AC261:AD261"/>
    <mergeCell ref="U254:V254"/>
    <mergeCell ref="W254:X254"/>
    <mergeCell ref="Y254:Z254"/>
    <mergeCell ref="AA254:AB254"/>
    <mergeCell ref="AC254:AD254"/>
    <mergeCell ref="U255:V255"/>
    <mergeCell ref="W255:X255"/>
    <mergeCell ref="Y255:Z255"/>
    <mergeCell ref="AA255:AB255"/>
    <mergeCell ref="AC255:AD255"/>
    <mergeCell ref="U256:V256"/>
    <mergeCell ref="W256:X256"/>
    <mergeCell ref="Y256:Z256"/>
    <mergeCell ref="AA256:AB256"/>
    <mergeCell ref="AC256:AD256"/>
    <mergeCell ref="U257:V257"/>
    <mergeCell ref="W257:X257"/>
    <mergeCell ref="Y257:Z257"/>
    <mergeCell ref="AA257:AB257"/>
    <mergeCell ref="AC257:AD257"/>
    <mergeCell ref="B394:C394"/>
    <mergeCell ref="B427:C427"/>
    <mergeCell ref="B797:C797"/>
    <mergeCell ref="B388:C388"/>
    <mergeCell ref="D388:E388"/>
    <mergeCell ref="F388:G388"/>
    <mergeCell ref="L388:M388"/>
    <mergeCell ref="B383:C383"/>
    <mergeCell ref="D383:E383"/>
    <mergeCell ref="F383:G383"/>
    <mergeCell ref="L389:M389"/>
    <mergeCell ref="L383:M383"/>
    <mergeCell ref="D389:E389"/>
    <mergeCell ref="H389:I389"/>
    <mergeCell ref="J389:K389"/>
    <mergeCell ref="H390:I390"/>
    <mergeCell ref="J390:K390"/>
    <mergeCell ref="H391:I391"/>
    <mergeCell ref="J391:K391"/>
    <mergeCell ref="H392:I392"/>
    <mergeCell ref="J392:K392"/>
    <mergeCell ref="F389:G389"/>
    <mergeCell ref="L390:M390"/>
    <mergeCell ref="B391:C391"/>
    <mergeCell ref="D391:E391"/>
    <mergeCell ref="F391:G391"/>
    <mergeCell ref="L391:M391"/>
    <mergeCell ref="B392:C392"/>
    <mergeCell ref="D392:E392"/>
    <mergeCell ref="F392:G392"/>
    <mergeCell ref="L392:M392"/>
    <mergeCell ref="J393:K393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7:M367"/>
    <mergeCell ref="L368:M368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7:E367"/>
    <mergeCell ref="D368:E368"/>
    <mergeCell ref="F357:G357"/>
    <mergeCell ref="F367:G367"/>
    <mergeCell ref="F368:G368"/>
    <mergeCell ref="H362:I362"/>
    <mergeCell ref="J362:K362"/>
    <mergeCell ref="H363:I363"/>
    <mergeCell ref="J363:K363"/>
    <mergeCell ref="H364:I364"/>
    <mergeCell ref="J364:K364"/>
    <mergeCell ref="H365:I365"/>
    <mergeCell ref="B393:C393"/>
    <mergeCell ref="D393:E393"/>
    <mergeCell ref="F393:G393"/>
    <mergeCell ref="L393:M393"/>
    <mergeCell ref="B384:C384"/>
    <mergeCell ref="D384:E384"/>
    <mergeCell ref="F384:G384"/>
    <mergeCell ref="L384:M384"/>
    <mergeCell ref="B387:C387"/>
    <mergeCell ref="D387:E387"/>
    <mergeCell ref="F387:G387"/>
    <mergeCell ref="L387:M387"/>
    <mergeCell ref="B390:C390"/>
    <mergeCell ref="D390:E390"/>
    <mergeCell ref="F390:G390"/>
    <mergeCell ref="H393:I393"/>
    <mergeCell ref="H384:I384"/>
    <mergeCell ref="J384:K384"/>
    <mergeCell ref="H387:I387"/>
    <mergeCell ref="J387:K387"/>
    <mergeCell ref="H388:I388"/>
    <mergeCell ref="J388:K388"/>
    <mergeCell ref="B385:C385"/>
    <mergeCell ref="D385:E385"/>
    <mergeCell ref="F385:G385"/>
    <mergeCell ref="H385:I385"/>
    <mergeCell ref="J385:K385"/>
    <mergeCell ref="L385:M385"/>
    <mergeCell ref="B386:C386"/>
    <mergeCell ref="D386:E386"/>
    <mergeCell ref="F386:G386"/>
    <mergeCell ref="H386:I386"/>
    <mergeCell ref="D334:E334"/>
    <mergeCell ref="D340:E340"/>
    <mergeCell ref="D338:E338"/>
    <mergeCell ref="F338:G338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D377:E377"/>
    <mergeCell ref="D380:E380"/>
    <mergeCell ref="D381:E381"/>
    <mergeCell ref="D382:E382"/>
    <mergeCell ref="F380:G380"/>
    <mergeCell ref="F381:G381"/>
    <mergeCell ref="F382:G382"/>
    <mergeCell ref="F377:G377"/>
    <mergeCell ref="F369:G369"/>
    <mergeCell ref="D369:E369"/>
    <mergeCell ref="D371:E371"/>
    <mergeCell ref="F371:G371"/>
    <mergeCell ref="D335:E335"/>
    <mergeCell ref="F379:G379"/>
    <mergeCell ref="L356:M356"/>
    <mergeCell ref="F349:G349"/>
    <mergeCell ref="L349:M349"/>
    <mergeCell ref="L343:M343"/>
    <mergeCell ref="D347:E347"/>
    <mergeCell ref="F347:G347"/>
    <mergeCell ref="B337:C337"/>
    <mergeCell ref="D337:E337"/>
    <mergeCell ref="B349:C349"/>
    <mergeCell ref="D349:E349"/>
    <mergeCell ref="B344:C344"/>
    <mergeCell ref="B338:C338"/>
    <mergeCell ref="L352:M352"/>
    <mergeCell ref="L353:M353"/>
    <mergeCell ref="B354:C354"/>
    <mergeCell ref="L354:M354"/>
    <mergeCell ref="B352:C353"/>
    <mergeCell ref="J353:K353"/>
    <mergeCell ref="H354:I354"/>
    <mergeCell ref="H349:I349"/>
    <mergeCell ref="J349:K349"/>
    <mergeCell ref="J340:K340"/>
    <mergeCell ref="H341:I341"/>
    <mergeCell ref="J341:K341"/>
    <mergeCell ref="H342:I342"/>
    <mergeCell ref="J342:K342"/>
    <mergeCell ref="J346:K346"/>
    <mergeCell ref="H347:I347"/>
    <mergeCell ref="J347:K347"/>
    <mergeCell ref="H348:I348"/>
    <mergeCell ref="J348:K348"/>
    <mergeCell ref="L348:M348"/>
    <mergeCell ref="L332:M332"/>
    <mergeCell ref="L331:M331"/>
    <mergeCell ref="L323:M323"/>
    <mergeCell ref="L322:M322"/>
    <mergeCell ref="F336:G336"/>
    <mergeCell ref="L320:M320"/>
    <mergeCell ref="F340:G340"/>
    <mergeCell ref="L340:M340"/>
    <mergeCell ref="L327:M327"/>
    <mergeCell ref="L326:M326"/>
    <mergeCell ref="L325:M325"/>
    <mergeCell ref="F337:G337"/>
    <mergeCell ref="F322:G322"/>
    <mergeCell ref="H319:I319"/>
    <mergeCell ref="J319:K319"/>
    <mergeCell ref="H320:I320"/>
    <mergeCell ref="J320:K320"/>
    <mergeCell ref="H322:I322"/>
    <mergeCell ref="J322:K322"/>
    <mergeCell ref="H323:I323"/>
    <mergeCell ref="J323:K323"/>
    <mergeCell ref="F331:G331"/>
    <mergeCell ref="H324:I324"/>
    <mergeCell ref="F334:G334"/>
    <mergeCell ref="F319:G319"/>
    <mergeCell ref="F335:G335"/>
    <mergeCell ref="H336:I336"/>
    <mergeCell ref="J336:K336"/>
    <mergeCell ref="H337:I337"/>
    <mergeCell ref="J337:K337"/>
    <mergeCell ref="H331:I331"/>
    <mergeCell ref="J331:K331"/>
    <mergeCell ref="L346:M346"/>
    <mergeCell ref="L341:M341"/>
    <mergeCell ref="L342:M342"/>
    <mergeCell ref="L336:M336"/>
    <mergeCell ref="L344:M344"/>
    <mergeCell ref="L338:M338"/>
    <mergeCell ref="L339:M339"/>
    <mergeCell ref="L347:M347"/>
    <mergeCell ref="L337:M337"/>
    <mergeCell ref="F345:G345"/>
    <mergeCell ref="L345:M345"/>
    <mergeCell ref="L315:M315"/>
    <mergeCell ref="L314:M314"/>
    <mergeCell ref="L310:M310"/>
    <mergeCell ref="L313:M313"/>
    <mergeCell ref="B336:C336"/>
    <mergeCell ref="D336:E336"/>
    <mergeCell ref="B325:C325"/>
    <mergeCell ref="D325:E325"/>
    <mergeCell ref="B327:C327"/>
    <mergeCell ref="D327:E327"/>
    <mergeCell ref="B326:C326"/>
    <mergeCell ref="L319:M319"/>
    <mergeCell ref="L317:M317"/>
    <mergeCell ref="L316:M316"/>
    <mergeCell ref="L328:M328"/>
    <mergeCell ref="L330:M330"/>
    <mergeCell ref="L324:M324"/>
    <mergeCell ref="L335:M335"/>
    <mergeCell ref="L334:M334"/>
    <mergeCell ref="L333:M333"/>
    <mergeCell ref="L318:M318"/>
    <mergeCell ref="B245:C245"/>
    <mergeCell ref="G245:H245"/>
    <mergeCell ref="L245:M245"/>
    <mergeCell ref="D259:E259"/>
    <mergeCell ref="F255:G255"/>
    <mergeCell ref="F252:G252"/>
    <mergeCell ref="F253:G253"/>
    <mergeCell ref="F254:G254"/>
    <mergeCell ref="F260:G260"/>
    <mergeCell ref="F259:G259"/>
    <mergeCell ref="F257:G257"/>
    <mergeCell ref="B258:C258"/>
    <mergeCell ref="D258:E258"/>
    <mergeCell ref="F258:G258"/>
    <mergeCell ref="B317:C317"/>
    <mergeCell ref="D317:E317"/>
    <mergeCell ref="F317:G317"/>
    <mergeCell ref="B316:C316"/>
    <mergeCell ref="D316:E316"/>
    <mergeCell ref="F316:G316"/>
    <mergeCell ref="B312:C312"/>
    <mergeCell ref="D312:E312"/>
    <mergeCell ref="F312:G312"/>
    <mergeCell ref="B259:C259"/>
    <mergeCell ref="B257:C257"/>
    <mergeCell ref="B256:C256"/>
    <mergeCell ref="B255:C255"/>
    <mergeCell ref="B254:C254"/>
    <mergeCell ref="D302:E302"/>
    <mergeCell ref="F302:G302"/>
    <mergeCell ref="F313:G313"/>
    <mergeCell ref="D304:E304"/>
    <mergeCell ref="B318:C318"/>
    <mergeCell ref="D318:E318"/>
    <mergeCell ref="F318:G318"/>
    <mergeCell ref="B303:C303"/>
    <mergeCell ref="D282:E282"/>
    <mergeCell ref="B290:C290"/>
    <mergeCell ref="L306:M306"/>
    <mergeCell ref="H300:I300"/>
    <mergeCell ref="N212:R212"/>
    <mergeCell ref="Q213:R213"/>
    <mergeCell ref="Q214:R214"/>
    <mergeCell ref="Q215:R215"/>
    <mergeCell ref="Q216:R216"/>
    <mergeCell ref="Q217:R217"/>
    <mergeCell ref="Q218:R218"/>
    <mergeCell ref="Q219:R219"/>
    <mergeCell ref="Q220:R220"/>
    <mergeCell ref="Q221:R221"/>
    <mergeCell ref="Q222:R222"/>
    <mergeCell ref="Q223:R223"/>
    <mergeCell ref="Q224:R224"/>
    <mergeCell ref="Q225:R225"/>
    <mergeCell ref="Q226:R226"/>
    <mergeCell ref="Q227:R227"/>
    <mergeCell ref="N233:R233"/>
    <mergeCell ref="L217:M217"/>
    <mergeCell ref="L218:M218"/>
    <mergeCell ref="L243:M243"/>
    <mergeCell ref="G244:H244"/>
    <mergeCell ref="L244:M244"/>
    <mergeCell ref="D313:E313"/>
    <mergeCell ref="B260:C260"/>
    <mergeCell ref="L241:M241"/>
    <mergeCell ref="G235:H235"/>
    <mergeCell ref="L235:M235"/>
    <mergeCell ref="L311:M311"/>
    <mergeCell ref="L312:M312"/>
    <mergeCell ref="J300:K300"/>
    <mergeCell ref="H301:I301"/>
    <mergeCell ref="B307:C307"/>
    <mergeCell ref="D307:E307"/>
    <mergeCell ref="F307:G307"/>
    <mergeCell ref="L307:M307"/>
    <mergeCell ref="Q234:R234"/>
    <mergeCell ref="Q235:R235"/>
    <mergeCell ref="B224:C224"/>
    <mergeCell ref="B225:C225"/>
    <mergeCell ref="B226:C226"/>
    <mergeCell ref="B237:C237"/>
    <mergeCell ref="G227:H227"/>
    <mergeCell ref="D309:E309"/>
    <mergeCell ref="F309:G309"/>
    <mergeCell ref="B292:C292"/>
    <mergeCell ref="B288:C288"/>
    <mergeCell ref="D286:E286"/>
    <mergeCell ref="D287:E287"/>
    <mergeCell ref="D284:E284"/>
    <mergeCell ref="B295:C296"/>
    <mergeCell ref="B304:C304"/>
    <mergeCell ref="B300:C300"/>
    <mergeCell ref="D300:E300"/>
    <mergeCell ref="F300:G300"/>
    <mergeCell ref="B302:C302"/>
    <mergeCell ref="B291:C291"/>
    <mergeCell ref="G221:H221"/>
    <mergeCell ref="G222:H222"/>
    <mergeCell ref="D233:H233"/>
    <mergeCell ref="I233:M233"/>
    <mergeCell ref="G234:H234"/>
    <mergeCell ref="L234:M234"/>
    <mergeCell ref="G236:H236"/>
    <mergeCell ref="L236:M236"/>
    <mergeCell ref="G237:H237"/>
    <mergeCell ref="L237:M237"/>
    <mergeCell ref="D39:E39"/>
    <mergeCell ref="F39:G39"/>
    <mergeCell ref="B40:C40"/>
    <mergeCell ref="D40:E40"/>
    <mergeCell ref="F40:G40"/>
    <mergeCell ref="B41:C41"/>
    <mergeCell ref="D41:E41"/>
    <mergeCell ref="F41:G41"/>
    <mergeCell ref="L226:M226"/>
    <mergeCell ref="L227:M227"/>
    <mergeCell ref="G223:H223"/>
    <mergeCell ref="G224:H224"/>
    <mergeCell ref="G225:H225"/>
    <mergeCell ref="B201:C201"/>
    <mergeCell ref="D197:E197"/>
    <mergeCell ref="B202:C202"/>
    <mergeCell ref="F197:G197"/>
    <mergeCell ref="B197:C197"/>
    <mergeCell ref="F201:G201"/>
    <mergeCell ref="D201:E201"/>
    <mergeCell ref="D202:E202"/>
    <mergeCell ref="F202:G202"/>
    <mergeCell ref="B33:I33"/>
    <mergeCell ref="C775:H775"/>
    <mergeCell ref="M752:N752"/>
    <mergeCell ref="M753:N753"/>
    <mergeCell ref="C752:D752"/>
    <mergeCell ref="E752:F752"/>
    <mergeCell ref="G752:H752"/>
    <mergeCell ref="C753:D753"/>
    <mergeCell ref="E753:F753"/>
    <mergeCell ref="G753:H753"/>
    <mergeCell ref="D721:E721"/>
    <mergeCell ref="D722:E722"/>
    <mergeCell ref="D723:E723"/>
    <mergeCell ref="B680:D680"/>
    <mergeCell ref="B681:D681"/>
    <mergeCell ref="B682:D682"/>
    <mergeCell ref="B683:D683"/>
    <mergeCell ref="B734:C734"/>
    <mergeCell ref="C751:H751"/>
    <mergeCell ref="I752:J752"/>
    <mergeCell ref="B207:C207"/>
    <mergeCell ref="I212:M212"/>
    <mergeCell ref="L213:M213"/>
    <mergeCell ref="L221:M221"/>
    <mergeCell ref="B213:C213"/>
    <mergeCell ref="F206:G206"/>
    <mergeCell ref="B221:C221"/>
    <mergeCell ref="D727:E727"/>
    <mergeCell ref="D728:E728"/>
    <mergeCell ref="D729:E729"/>
    <mergeCell ref="D730:E730"/>
    <mergeCell ref="D732:E732"/>
    <mergeCell ref="C776:D776"/>
    <mergeCell ref="E776:F776"/>
    <mergeCell ref="G776:H776"/>
    <mergeCell ref="I776:J776"/>
    <mergeCell ref="K776:L776"/>
    <mergeCell ref="C778:D778"/>
    <mergeCell ref="E778:F778"/>
    <mergeCell ref="G778:H778"/>
    <mergeCell ref="I778:J778"/>
    <mergeCell ref="K778:L778"/>
    <mergeCell ref="K752:L752"/>
    <mergeCell ref="K753:L753"/>
    <mergeCell ref="B713:C713"/>
    <mergeCell ref="B714:C723"/>
    <mergeCell ref="D714:E714"/>
    <mergeCell ref="D715:E715"/>
    <mergeCell ref="D716:E716"/>
    <mergeCell ref="D717:E717"/>
    <mergeCell ref="D718:E718"/>
    <mergeCell ref="D719:E719"/>
    <mergeCell ref="D720:E720"/>
    <mergeCell ref="I751:N751"/>
    <mergeCell ref="B750:N750"/>
    <mergeCell ref="I775:N775"/>
    <mergeCell ref="B774:N774"/>
    <mergeCell ref="M776:N776"/>
    <mergeCell ref="M778:N778"/>
    <mergeCell ref="B775:B776"/>
    <mergeCell ref="I753:J753"/>
    <mergeCell ref="B751:B752"/>
    <mergeCell ref="B725:C725"/>
    <mergeCell ref="D726:E726"/>
    <mergeCell ref="B726:C732"/>
    <mergeCell ref="B689:D689"/>
    <mergeCell ref="B690:D690"/>
    <mergeCell ref="B693:D693"/>
    <mergeCell ref="B694:C694"/>
    <mergeCell ref="B702:C711"/>
    <mergeCell ref="B701:C701"/>
    <mergeCell ref="D711:E711"/>
    <mergeCell ref="D710:E710"/>
    <mergeCell ref="D709:E709"/>
    <mergeCell ref="D707:E707"/>
    <mergeCell ref="D708:E708"/>
    <mergeCell ref="D706:E706"/>
    <mergeCell ref="D705:E705"/>
    <mergeCell ref="D703:E703"/>
    <mergeCell ref="D702:E702"/>
    <mergeCell ref="D704:E704"/>
    <mergeCell ref="D731:E731"/>
    <mergeCell ref="B692:D692"/>
    <mergeCell ref="B691:D691"/>
    <mergeCell ref="B675:D675"/>
    <mergeCell ref="B676:D676"/>
    <mergeCell ref="B677:D677"/>
    <mergeCell ref="B678:D678"/>
    <mergeCell ref="B679:D679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55:D655"/>
    <mergeCell ref="B656:D656"/>
    <mergeCell ref="B657:D657"/>
    <mergeCell ref="B658:D658"/>
    <mergeCell ref="B659:D659"/>
    <mergeCell ref="B660:D660"/>
    <mergeCell ref="B661:D661"/>
    <mergeCell ref="B662:D662"/>
    <mergeCell ref="B663:D663"/>
    <mergeCell ref="B673:D673"/>
    <mergeCell ref="B674:D674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35:G635"/>
    <mergeCell ref="B636:D636"/>
    <mergeCell ref="B637:D637"/>
    <mergeCell ref="B640:D640"/>
    <mergeCell ref="B643:D643"/>
    <mergeCell ref="B644:D644"/>
    <mergeCell ref="B645:D645"/>
    <mergeCell ref="B633:D633"/>
    <mergeCell ref="B639:D639"/>
    <mergeCell ref="B638:D638"/>
    <mergeCell ref="B641:D641"/>
    <mergeCell ref="B632:D632"/>
    <mergeCell ref="B631:D631"/>
    <mergeCell ref="B630:D630"/>
    <mergeCell ref="B629:D629"/>
    <mergeCell ref="B628:D628"/>
    <mergeCell ref="B627:D627"/>
    <mergeCell ref="B626:D626"/>
    <mergeCell ref="B625:D625"/>
    <mergeCell ref="B605:D605"/>
    <mergeCell ref="B617:D617"/>
    <mergeCell ref="B616:D616"/>
    <mergeCell ref="B615:D615"/>
    <mergeCell ref="B614:D614"/>
    <mergeCell ref="B613:D613"/>
    <mergeCell ref="B612:D612"/>
    <mergeCell ref="B611:D611"/>
    <mergeCell ref="B610:D610"/>
    <mergeCell ref="B624:D624"/>
    <mergeCell ref="B623:D623"/>
    <mergeCell ref="B622:D622"/>
    <mergeCell ref="B621:D621"/>
    <mergeCell ref="B620:D620"/>
    <mergeCell ref="B619:D619"/>
    <mergeCell ref="B618:D618"/>
    <mergeCell ref="B609:D609"/>
    <mergeCell ref="B608:D608"/>
    <mergeCell ref="B607:D607"/>
    <mergeCell ref="B606:D606"/>
    <mergeCell ref="C587:D587"/>
    <mergeCell ref="G587:H587"/>
    <mergeCell ref="C582:D582"/>
    <mergeCell ref="G582:H582"/>
    <mergeCell ref="B595:G595"/>
    <mergeCell ref="B604:D604"/>
    <mergeCell ref="B603:D603"/>
    <mergeCell ref="B602:D602"/>
    <mergeCell ref="B601:D601"/>
    <mergeCell ref="B600:D600"/>
    <mergeCell ref="B599:D599"/>
    <mergeCell ref="B598:D598"/>
    <mergeCell ref="B597:D597"/>
    <mergeCell ref="B596:D596"/>
    <mergeCell ref="G583:H583"/>
    <mergeCell ref="C586:D586"/>
    <mergeCell ref="G586:H586"/>
    <mergeCell ref="C578:D578"/>
    <mergeCell ref="G578:H578"/>
    <mergeCell ref="I578:J578"/>
    <mergeCell ref="C573:D573"/>
    <mergeCell ref="G573:H573"/>
    <mergeCell ref="I573:J573"/>
    <mergeCell ref="C574:D574"/>
    <mergeCell ref="G574:H574"/>
    <mergeCell ref="I574:J574"/>
    <mergeCell ref="C575:D575"/>
    <mergeCell ref="G575:H575"/>
    <mergeCell ref="I575:J575"/>
    <mergeCell ref="I582:J582"/>
    <mergeCell ref="C585:D585"/>
    <mergeCell ref="G585:H585"/>
    <mergeCell ref="I585:J585"/>
    <mergeCell ref="C579:D579"/>
    <mergeCell ref="G579:H579"/>
    <mergeCell ref="I579:J579"/>
    <mergeCell ref="C580:D580"/>
    <mergeCell ref="G580:H580"/>
    <mergeCell ref="I580:J580"/>
    <mergeCell ref="C581:D581"/>
    <mergeCell ref="G581:H581"/>
    <mergeCell ref="I581:J581"/>
    <mergeCell ref="I584:J584"/>
    <mergeCell ref="G584:H584"/>
    <mergeCell ref="I583:J583"/>
    <mergeCell ref="C584:D584"/>
    <mergeCell ref="C572:D572"/>
    <mergeCell ref="G572:H572"/>
    <mergeCell ref="I572:J572"/>
    <mergeCell ref="C567:D567"/>
    <mergeCell ref="G567:H567"/>
    <mergeCell ref="I567:J567"/>
    <mergeCell ref="C568:D568"/>
    <mergeCell ref="G568:H568"/>
    <mergeCell ref="I568:J568"/>
    <mergeCell ref="C569:D569"/>
    <mergeCell ref="G569:H569"/>
    <mergeCell ref="I569:J569"/>
    <mergeCell ref="C576:D576"/>
    <mergeCell ref="G576:H576"/>
    <mergeCell ref="I576:J576"/>
    <mergeCell ref="C577:D577"/>
    <mergeCell ref="G577:H577"/>
    <mergeCell ref="I577:J577"/>
    <mergeCell ref="I570:J570"/>
    <mergeCell ref="C571:D571"/>
    <mergeCell ref="G571:H571"/>
    <mergeCell ref="I571:J571"/>
    <mergeCell ref="C570:D570"/>
    <mergeCell ref="G570:H570"/>
    <mergeCell ref="I544:J544"/>
    <mergeCell ref="C545:D545"/>
    <mergeCell ref="G545:H545"/>
    <mergeCell ref="I545:J545"/>
    <mergeCell ref="C546:D546"/>
    <mergeCell ref="G546:H546"/>
    <mergeCell ref="I546:J546"/>
    <mergeCell ref="I553:J553"/>
    <mergeCell ref="G554:H554"/>
    <mergeCell ref="I554:J554"/>
    <mergeCell ref="G547:H547"/>
    <mergeCell ref="I547:J547"/>
    <mergeCell ref="C555:D555"/>
    <mergeCell ref="G555:H555"/>
    <mergeCell ref="C560:D560"/>
    <mergeCell ref="G560:H560"/>
    <mergeCell ref="C556:D556"/>
    <mergeCell ref="G549:H549"/>
    <mergeCell ref="I549:J549"/>
    <mergeCell ref="C554:D554"/>
    <mergeCell ref="I560:J560"/>
    <mergeCell ref="C561:D561"/>
    <mergeCell ref="G561:H561"/>
    <mergeCell ref="I561:J561"/>
    <mergeCell ref="C557:D557"/>
    <mergeCell ref="G557:H557"/>
    <mergeCell ref="I557:J557"/>
    <mergeCell ref="C558:D558"/>
    <mergeCell ref="G558:H558"/>
    <mergeCell ref="I558:J558"/>
    <mergeCell ref="C559:D559"/>
    <mergeCell ref="G559:H559"/>
    <mergeCell ref="I559:J559"/>
    <mergeCell ref="C565:D565"/>
    <mergeCell ref="G565:H565"/>
    <mergeCell ref="I514:J514"/>
    <mergeCell ref="I513:J513"/>
    <mergeCell ref="I512:J512"/>
    <mergeCell ref="C566:D566"/>
    <mergeCell ref="G566:H566"/>
    <mergeCell ref="I566:J566"/>
    <mergeCell ref="C562:D562"/>
    <mergeCell ref="G562:H562"/>
    <mergeCell ref="I562:J562"/>
    <mergeCell ref="C563:D563"/>
    <mergeCell ref="G563:H563"/>
    <mergeCell ref="I563:J563"/>
    <mergeCell ref="C564:D564"/>
    <mergeCell ref="G564:H564"/>
    <mergeCell ref="I564:J564"/>
    <mergeCell ref="C547:D547"/>
    <mergeCell ref="C550:D550"/>
    <mergeCell ref="G550:H550"/>
    <mergeCell ref="I550:J550"/>
    <mergeCell ref="C551:D551"/>
    <mergeCell ref="G551:H551"/>
    <mergeCell ref="I551:J551"/>
    <mergeCell ref="C552:D552"/>
    <mergeCell ref="G552:H552"/>
    <mergeCell ref="I552:J552"/>
    <mergeCell ref="C548:D548"/>
    <mergeCell ref="G548:H548"/>
    <mergeCell ref="I548:J548"/>
    <mergeCell ref="G553:H553"/>
    <mergeCell ref="I565:J565"/>
    <mergeCell ref="I555:J555"/>
    <mergeCell ref="C549:D549"/>
    <mergeCell ref="B526:B527"/>
    <mergeCell ref="C543:D543"/>
    <mergeCell ref="I539:J539"/>
    <mergeCell ref="C540:D540"/>
    <mergeCell ref="G540:H540"/>
    <mergeCell ref="I540:J540"/>
    <mergeCell ref="G535:H535"/>
    <mergeCell ref="I535:J535"/>
    <mergeCell ref="I533:J533"/>
    <mergeCell ref="C535:D535"/>
    <mergeCell ref="I541:J541"/>
    <mergeCell ref="C542:D542"/>
    <mergeCell ref="G542:H542"/>
    <mergeCell ref="I542:J542"/>
    <mergeCell ref="C536:D536"/>
    <mergeCell ref="G536:H536"/>
    <mergeCell ref="I536:J536"/>
    <mergeCell ref="C537:D537"/>
    <mergeCell ref="C534:D534"/>
    <mergeCell ref="G534:H534"/>
    <mergeCell ref="G528:H528"/>
    <mergeCell ref="I528:J528"/>
    <mergeCell ref="C529:D529"/>
    <mergeCell ref="G529:H529"/>
    <mergeCell ref="I529:J529"/>
    <mergeCell ref="C532:D532"/>
    <mergeCell ref="G543:H543"/>
    <mergeCell ref="I532:J532"/>
    <mergeCell ref="I515:J515"/>
    <mergeCell ref="I520:J520"/>
    <mergeCell ref="I537:J537"/>
    <mergeCell ref="C539:D539"/>
    <mergeCell ref="G539:H539"/>
    <mergeCell ref="I530:J530"/>
    <mergeCell ref="C541:D541"/>
    <mergeCell ref="G541:H541"/>
    <mergeCell ref="I543:J543"/>
    <mergeCell ref="C538:D538"/>
    <mergeCell ref="G538:H538"/>
    <mergeCell ref="I538:J538"/>
    <mergeCell ref="G516:H516"/>
    <mergeCell ref="G521:H521"/>
    <mergeCell ref="C515:D515"/>
    <mergeCell ref="I534:J534"/>
    <mergeCell ref="C533:D533"/>
    <mergeCell ref="G533:H533"/>
    <mergeCell ref="K526:V526"/>
    <mergeCell ref="K527:L527"/>
    <mergeCell ref="E526:E527"/>
    <mergeCell ref="F526:F527"/>
    <mergeCell ref="M527:N527"/>
    <mergeCell ref="O527:P527"/>
    <mergeCell ref="Q527:R527"/>
    <mergeCell ref="M483:N483"/>
    <mergeCell ref="U483:V483"/>
    <mergeCell ref="S483:T483"/>
    <mergeCell ref="I503:J503"/>
    <mergeCell ref="C500:D500"/>
    <mergeCell ref="C499:D499"/>
    <mergeCell ref="C498:D498"/>
    <mergeCell ref="C509:D509"/>
    <mergeCell ref="C508:D508"/>
    <mergeCell ref="C507:D507"/>
    <mergeCell ref="I501:J501"/>
    <mergeCell ref="C503:D503"/>
    <mergeCell ref="C502:D502"/>
    <mergeCell ref="C501:D501"/>
    <mergeCell ref="I497:J497"/>
    <mergeCell ref="I496:J496"/>
    <mergeCell ref="I495:J495"/>
    <mergeCell ref="S527:T527"/>
    <mergeCell ref="U527:V527"/>
    <mergeCell ref="I519:J519"/>
    <mergeCell ref="C522:D522"/>
    <mergeCell ref="C521:D521"/>
    <mergeCell ref="G519:H519"/>
    <mergeCell ref="I511:J511"/>
    <mergeCell ref="I510:J510"/>
    <mergeCell ref="D422:F422"/>
    <mergeCell ref="B468:C468"/>
    <mergeCell ref="C491:D491"/>
    <mergeCell ref="C490:D490"/>
    <mergeCell ref="G506:H506"/>
    <mergeCell ref="C497:D497"/>
    <mergeCell ref="G497:H497"/>
    <mergeCell ref="I502:J502"/>
    <mergeCell ref="G499:H499"/>
    <mergeCell ref="G498:H498"/>
    <mergeCell ref="B443:C443"/>
    <mergeCell ref="B444:C444"/>
    <mergeCell ref="B445:C445"/>
    <mergeCell ref="B446:C446"/>
    <mergeCell ref="B438:C438"/>
    <mergeCell ref="B439:C439"/>
    <mergeCell ref="B440:C440"/>
    <mergeCell ref="B441:C441"/>
    <mergeCell ref="C495:D495"/>
    <mergeCell ref="C482:D483"/>
    <mergeCell ref="G485:H485"/>
    <mergeCell ref="K483:L483"/>
    <mergeCell ref="B448:C448"/>
    <mergeCell ref="B449:C449"/>
    <mergeCell ref="B450:C450"/>
    <mergeCell ref="I485:J485"/>
    <mergeCell ref="I484:J484"/>
    <mergeCell ref="I482:J483"/>
    <mergeCell ref="G484:H484"/>
    <mergeCell ref="Q483:R483"/>
    <mergeCell ref="O483:P483"/>
    <mergeCell ref="I494:J494"/>
    <mergeCell ref="I493:J493"/>
    <mergeCell ref="I492:J492"/>
    <mergeCell ref="I508:J508"/>
    <mergeCell ref="I507:J507"/>
    <mergeCell ref="I506:J506"/>
    <mergeCell ref="I505:J505"/>
    <mergeCell ref="I504:J504"/>
    <mergeCell ref="G505:H505"/>
    <mergeCell ref="G504:H504"/>
    <mergeCell ref="C506:D506"/>
    <mergeCell ref="G503:H503"/>
    <mergeCell ref="C484:D484"/>
    <mergeCell ref="I426:J426"/>
    <mergeCell ref="I425:J425"/>
    <mergeCell ref="B432:C432"/>
    <mergeCell ref="B433:C433"/>
    <mergeCell ref="B434:C434"/>
    <mergeCell ref="B470:C470"/>
    <mergeCell ref="B471:C471"/>
    <mergeCell ref="B472:C472"/>
    <mergeCell ref="B463:C463"/>
    <mergeCell ref="B464:C464"/>
    <mergeCell ref="B465:C465"/>
    <mergeCell ref="B466:C466"/>
    <mergeCell ref="B467:C467"/>
    <mergeCell ref="B451:C451"/>
    <mergeCell ref="G482:H483"/>
    <mergeCell ref="G491:H491"/>
    <mergeCell ref="C489:D489"/>
    <mergeCell ref="B482:B483"/>
    <mergeCell ref="G490:H490"/>
    <mergeCell ref="E482:E483"/>
    <mergeCell ref="B442:C442"/>
    <mergeCell ref="B453:C453"/>
    <mergeCell ref="B454:C454"/>
    <mergeCell ref="B481:V481"/>
    <mergeCell ref="B455:C455"/>
    <mergeCell ref="B461:C461"/>
    <mergeCell ref="B462:C462"/>
    <mergeCell ref="B447:C447"/>
    <mergeCell ref="B452:C452"/>
    <mergeCell ref="B459:C459"/>
    <mergeCell ref="B460:C460"/>
    <mergeCell ref="B469:C469"/>
    <mergeCell ref="I422:J422"/>
    <mergeCell ref="I423:J423"/>
    <mergeCell ref="D333:E333"/>
    <mergeCell ref="F333:G333"/>
    <mergeCell ref="B332:C332"/>
    <mergeCell ref="D332:E332"/>
    <mergeCell ref="F332:G332"/>
    <mergeCell ref="B331:C331"/>
    <mergeCell ref="D331:E331"/>
    <mergeCell ref="D411:F411"/>
    <mergeCell ref="D410:F410"/>
    <mergeCell ref="D409:F409"/>
    <mergeCell ref="D408:F408"/>
    <mergeCell ref="G403:J403"/>
    <mergeCell ref="B418:C423"/>
    <mergeCell ref="G404:H404"/>
    <mergeCell ref="G420:H420"/>
    <mergeCell ref="I404:J404"/>
    <mergeCell ref="I405:J405"/>
    <mergeCell ref="I406:J406"/>
    <mergeCell ref="I407:J407"/>
    <mergeCell ref="I408:J408"/>
    <mergeCell ref="I409:J409"/>
    <mergeCell ref="I410:J410"/>
    <mergeCell ref="I411:J411"/>
    <mergeCell ref="I412:J412"/>
    <mergeCell ref="I418:J418"/>
    <mergeCell ref="I419:J419"/>
    <mergeCell ref="I420:J420"/>
    <mergeCell ref="G405:H405"/>
    <mergeCell ref="G406:H406"/>
    <mergeCell ref="D423:F423"/>
    <mergeCell ref="G407:H407"/>
    <mergeCell ref="B339:C339"/>
    <mergeCell ref="D339:E339"/>
    <mergeCell ref="F339:G339"/>
    <mergeCell ref="B345:C345"/>
    <mergeCell ref="D345:E345"/>
    <mergeCell ref="D341:E341"/>
    <mergeCell ref="F341:G341"/>
    <mergeCell ref="B342:C342"/>
    <mergeCell ref="D342:E342"/>
    <mergeCell ref="F342:G342"/>
    <mergeCell ref="B348:C348"/>
    <mergeCell ref="D348:E348"/>
    <mergeCell ref="F348:G348"/>
    <mergeCell ref="B346:C346"/>
    <mergeCell ref="D346:E346"/>
    <mergeCell ref="F346:G346"/>
    <mergeCell ref="D343:E343"/>
    <mergeCell ref="F343:G343"/>
    <mergeCell ref="B340:C340"/>
    <mergeCell ref="D344:E344"/>
    <mergeCell ref="F344:G344"/>
    <mergeCell ref="H352:I352"/>
    <mergeCell ref="H383:I383"/>
    <mergeCell ref="B361:C361"/>
    <mergeCell ref="B362:C362"/>
    <mergeCell ref="B363:C363"/>
    <mergeCell ref="B364:C364"/>
    <mergeCell ref="B365:C365"/>
    <mergeCell ref="B367:C367"/>
    <mergeCell ref="B368:C368"/>
    <mergeCell ref="B389:C389"/>
    <mergeCell ref="B328:C328"/>
    <mergeCell ref="D328:E328"/>
    <mergeCell ref="F328:G328"/>
    <mergeCell ref="B330:C330"/>
    <mergeCell ref="D330:E330"/>
    <mergeCell ref="F330:G330"/>
    <mergeCell ref="B315:C315"/>
    <mergeCell ref="D315:E315"/>
    <mergeCell ref="F315:G315"/>
    <mergeCell ref="B314:C314"/>
    <mergeCell ref="D314:E314"/>
    <mergeCell ref="F314:G314"/>
    <mergeCell ref="F325:G325"/>
    <mergeCell ref="F327:G327"/>
    <mergeCell ref="F324:G324"/>
    <mergeCell ref="B335:C335"/>
    <mergeCell ref="B320:C320"/>
    <mergeCell ref="D320:E320"/>
    <mergeCell ref="F320:G320"/>
    <mergeCell ref="D326:E326"/>
    <mergeCell ref="F326:G326"/>
    <mergeCell ref="B323:C323"/>
    <mergeCell ref="D323:E323"/>
    <mergeCell ref="F323:G323"/>
    <mergeCell ref="B322:C322"/>
    <mergeCell ref="B324:C324"/>
    <mergeCell ref="B321:C321"/>
    <mergeCell ref="D321:E321"/>
    <mergeCell ref="F321:G321"/>
    <mergeCell ref="D324:E324"/>
    <mergeCell ref="B334:C334"/>
    <mergeCell ref="D319:E319"/>
    <mergeCell ref="B289:C289"/>
    <mergeCell ref="D289:E289"/>
    <mergeCell ref="F289:G289"/>
    <mergeCell ref="D296:E296"/>
    <mergeCell ref="F296:G296"/>
    <mergeCell ref="D260:E260"/>
    <mergeCell ref="D253:E253"/>
    <mergeCell ref="D252:E252"/>
    <mergeCell ref="F295:G295"/>
    <mergeCell ref="G243:H243"/>
    <mergeCell ref="B310:C310"/>
    <mergeCell ref="D310:E310"/>
    <mergeCell ref="F310:G310"/>
    <mergeCell ref="B228:C228"/>
    <mergeCell ref="B277:C277"/>
    <mergeCell ref="B263:C263"/>
    <mergeCell ref="B262:C262"/>
    <mergeCell ref="B268:C268"/>
    <mergeCell ref="B275:C275"/>
    <mergeCell ref="B270:C270"/>
    <mergeCell ref="B267:C267"/>
    <mergeCell ref="B273:C273"/>
    <mergeCell ref="B264:C264"/>
    <mergeCell ref="B266:C266"/>
    <mergeCell ref="B265:C265"/>
    <mergeCell ref="D269:E269"/>
    <mergeCell ref="D268:E268"/>
    <mergeCell ref="D263:E263"/>
    <mergeCell ref="D262:E262"/>
    <mergeCell ref="D278:E278"/>
    <mergeCell ref="F283:G283"/>
    <mergeCell ref="B236:C236"/>
    <mergeCell ref="G240:H240"/>
    <mergeCell ref="B306:C306"/>
    <mergeCell ref="D280:E280"/>
    <mergeCell ref="G242:H242"/>
    <mergeCell ref="G241:H241"/>
    <mergeCell ref="B261:C261"/>
    <mergeCell ref="G226:H226"/>
    <mergeCell ref="B227:C227"/>
    <mergeCell ref="D292:E292"/>
    <mergeCell ref="D288:E288"/>
    <mergeCell ref="D266:E266"/>
    <mergeCell ref="D265:E265"/>
    <mergeCell ref="D272:E272"/>
    <mergeCell ref="F281:G281"/>
    <mergeCell ref="F292:G292"/>
    <mergeCell ref="F288:G288"/>
    <mergeCell ref="F286:G286"/>
    <mergeCell ref="F287:G287"/>
    <mergeCell ref="F284:G284"/>
    <mergeCell ref="F290:G290"/>
    <mergeCell ref="F285:G285"/>
    <mergeCell ref="F291:G291"/>
    <mergeCell ref="F275:G275"/>
    <mergeCell ref="F273:G273"/>
    <mergeCell ref="F264:G264"/>
    <mergeCell ref="F266:G266"/>
    <mergeCell ref="F267:G267"/>
    <mergeCell ref="F268:G268"/>
    <mergeCell ref="F269:G269"/>
    <mergeCell ref="F279:G279"/>
    <mergeCell ref="F278:G278"/>
    <mergeCell ref="D257:E257"/>
    <mergeCell ref="F261:G261"/>
    <mergeCell ref="F256:G256"/>
    <mergeCell ref="D256:E256"/>
    <mergeCell ref="D255:E255"/>
    <mergeCell ref="D261:E261"/>
    <mergeCell ref="B218:C218"/>
    <mergeCell ref="B219:C219"/>
    <mergeCell ref="B220:C220"/>
    <mergeCell ref="B206:C206"/>
    <mergeCell ref="B215:C215"/>
    <mergeCell ref="B216:C216"/>
    <mergeCell ref="D206:E206"/>
    <mergeCell ref="D212:H212"/>
    <mergeCell ref="G213:H213"/>
    <mergeCell ref="B243:C243"/>
    <mergeCell ref="B244:C244"/>
    <mergeCell ref="B246:C246"/>
    <mergeCell ref="B252:C253"/>
    <mergeCell ref="B223:C223"/>
    <mergeCell ref="B217:C217"/>
    <mergeCell ref="B214:C214"/>
    <mergeCell ref="G215:H215"/>
    <mergeCell ref="G216:H216"/>
    <mergeCell ref="G217:H217"/>
    <mergeCell ref="G218:H218"/>
    <mergeCell ref="G219:H219"/>
    <mergeCell ref="G220:H220"/>
    <mergeCell ref="B222:C222"/>
    <mergeCell ref="B251:M251"/>
    <mergeCell ref="L223:M223"/>
    <mergeCell ref="L224:M224"/>
    <mergeCell ref="L225:M225"/>
    <mergeCell ref="F23:G23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F30:G30"/>
    <mergeCell ref="B29:C29"/>
    <mergeCell ref="D29:E29"/>
    <mergeCell ref="F29:G29"/>
    <mergeCell ref="F36:G36"/>
    <mergeCell ref="B34:C34"/>
    <mergeCell ref="D34:E34"/>
    <mergeCell ref="F35:G35"/>
    <mergeCell ref="B39:C39"/>
    <mergeCell ref="A400:A401"/>
    <mergeCell ref="B234:C234"/>
    <mergeCell ref="B235:C235"/>
    <mergeCell ref="B282:C282"/>
    <mergeCell ref="B281:C281"/>
    <mergeCell ref="B283:C283"/>
    <mergeCell ref="B286:C286"/>
    <mergeCell ref="B287:C287"/>
    <mergeCell ref="B284:C284"/>
    <mergeCell ref="F270:G270"/>
    <mergeCell ref="D279:E279"/>
    <mergeCell ref="B238:C238"/>
    <mergeCell ref="B239:C239"/>
    <mergeCell ref="B240:C240"/>
    <mergeCell ref="D254:E254"/>
    <mergeCell ref="B241:C241"/>
    <mergeCell ref="B242:C242"/>
    <mergeCell ref="B280:C280"/>
    <mergeCell ref="B276:C276"/>
    <mergeCell ref="B297:C297"/>
    <mergeCell ref="B308:C308"/>
    <mergeCell ref="B319:C319"/>
    <mergeCell ref="B313:C313"/>
    <mergeCell ref="B333:C333"/>
    <mergeCell ref="B343:C343"/>
    <mergeCell ref="B341:C341"/>
    <mergeCell ref="B347:C347"/>
    <mergeCell ref="F280:G280"/>
    <mergeCell ref="F282:G282"/>
    <mergeCell ref="F262:G262"/>
    <mergeCell ref="F263:G263"/>
    <mergeCell ref="D283:E283"/>
    <mergeCell ref="D267:E267"/>
    <mergeCell ref="D273:E273"/>
    <mergeCell ref="D264:E264"/>
    <mergeCell ref="D290:E290"/>
    <mergeCell ref="D285:E285"/>
    <mergeCell ref="D291:E291"/>
    <mergeCell ref="D275:E275"/>
    <mergeCell ref="F482:F483"/>
    <mergeCell ref="D421:F421"/>
    <mergeCell ref="D420:F420"/>
    <mergeCell ref="D419:F419"/>
    <mergeCell ref="D418:F418"/>
    <mergeCell ref="D306:E306"/>
    <mergeCell ref="F306:G306"/>
    <mergeCell ref="D295:E295"/>
    <mergeCell ref="D352:E352"/>
    <mergeCell ref="F271:G271"/>
    <mergeCell ref="D308:E308"/>
    <mergeCell ref="F308:G308"/>
    <mergeCell ref="D271:E271"/>
    <mergeCell ref="D353:E353"/>
    <mergeCell ref="D354:E354"/>
    <mergeCell ref="F354:G354"/>
    <mergeCell ref="D322:E322"/>
    <mergeCell ref="F265:G265"/>
    <mergeCell ref="F272:G272"/>
    <mergeCell ref="D281:E281"/>
    <mergeCell ref="B271:C271"/>
    <mergeCell ref="B269:C269"/>
    <mergeCell ref="B279:C279"/>
    <mergeCell ref="B278:C278"/>
    <mergeCell ref="D297:E297"/>
    <mergeCell ref="F297:G297"/>
    <mergeCell ref="B298:C298"/>
    <mergeCell ref="D298:E298"/>
    <mergeCell ref="F298:G298"/>
    <mergeCell ref="B299:C299"/>
    <mergeCell ref="D299:E299"/>
    <mergeCell ref="F299:G299"/>
    <mergeCell ref="B301:C301"/>
    <mergeCell ref="D301:E301"/>
    <mergeCell ref="F301:G301"/>
    <mergeCell ref="B311:C311"/>
    <mergeCell ref="D311:E311"/>
    <mergeCell ref="F311:G311"/>
    <mergeCell ref="F276:G276"/>
    <mergeCell ref="F277:G277"/>
    <mergeCell ref="F274:G274"/>
    <mergeCell ref="D276:E276"/>
    <mergeCell ref="D277:E277"/>
    <mergeCell ref="D274:E274"/>
    <mergeCell ref="D270:E270"/>
    <mergeCell ref="F304:G304"/>
    <mergeCell ref="B305:C305"/>
    <mergeCell ref="D305:E305"/>
    <mergeCell ref="F305:G305"/>
    <mergeCell ref="D303:E303"/>
    <mergeCell ref="F303:G303"/>
    <mergeCell ref="B285:C285"/>
    <mergeCell ref="B274:C274"/>
    <mergeCell ref="Q407:R407"/>
    <mergeCell ref="S407:T407"/>
    <mergeCell ref="Q408:R408"/>
    <mergeCell ref="S408:T408"/>
    <mergeCell ref="Q409:R409"/>
    <mergeCell ref="S409:T409"/>
    <mergeCell ref="Q410:R410"/>
    <mergeCell ref="S410:T410"/>
    <mergeCell ref="Q411:R411"/>
    <mergeCell ref="S411:T41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J273:K273"/>
    <mergeCell ref="J274:K274"/>
    <mergeCell ref="G410:H410"/>
    <mergeCell ref="G411:H411"/>
    <mergeCell ref="J275:K275"/>
    <mergeCell ref="H273:I273"/>
    <mergeCell ref="B272:C272"/>
    <mergeCell ref="B309:C309"/>
    <mergeCell ref="S426:T426"/>
    <mergeCell ref="Q420:R420"/>
    <mergeCell ref="S420:T420"/>
    <mergeCell ref="Q421:R421"/>
    <mergeCell ref="S421:T421"/>
    <mergeCell ref="Q422:R422"/>
    <mergeCell ref="S422:T422"/>
    <mergeCell ref="Q423:R423"/>
    <mergeCell ref="S423:T423"/>
    <mergeCell ref="Q425:R425"/>
    <mergeCell ref="S425:T425"/>
    <mergeCell ref="Q426:R426"/>
    <mergeCell ref="B642:D642"/>
    <mergeCell ref="C530:D530"/>
    <mergeCell ref="G530:H530"/>
    <mergeCell ref="G515:H515"/>
    <mergeCell ref="C583:D583"/>
    <mergeCell ref="C519:D519"/>
    <mergeCell ref="G514:H514"/>
    <mergeCell ref="G513:H513"/>
    <mergeCell ref="G511:H511"/>
    <mergeCell ref="G512:H512"/>
    <mergeCell ref="G510:H510"/>
    <mergeCell ref="G509:H509"/>
    <mergeCell ref="G508:H508"/>
    <mergeCell ref="G507:H507"/>
    <mergeCell ref="G495:H495"/>
    <mergeCell ref="G522:H522"/>
    <mergeCell ref="I421:J421"/>
    <mergeCell ref="C505:D505"/>
    <mergeCell ref="C544:D544"/>
    <mergeCell ref="G544:H544"/>
    <mergeCell ref="H26:I26"/>
    <mergeCell ref="H27:I27"/>
    <mergeCell ref="H28:I28"/>
    <mergeCell ref="H29:I29"/>
    <mergeCell ref="D15:E15"/>
    <mergeCell ref="D14:E14"/>
    <mergeCell ref="F14:G14"/>
    <mergeCell ref="F16:G16"/>
    <mergeCell ref="F15:G15"/>
    <mergeCell ref="C504:D504"/>
    <mergeCell ref="G520:H520"/>
    <mergeCell ref="C513:D513"/>
    <mergeCell ref="C512:D512"/>
    <mergeCell ref="C511:D511"/>
    <mergeCell ref="C510:D510"/>
    <mergeCell ref="G537:H537"/>
    <mergeCell ref="F352:G352"/>
    <mergeCell ref="G425:H425"/>
    <mergeCell ref="G426:H426"/>
    <mergeCell ref="G421:H421"/>
    <mergeCell ref="G422:H422"/>
    <mergeCell ref="G423:H423"/>
    <mergeCell ref="F353:G353"/>
    <mergeCell ref="B401:C401"/>
    <mergeCell ref="B399:C399"/>
    <mergeCell ref="B400:C400"/>
    <mergeCell ref="B404:C404"/>
    <mergeCell ref="B405:C411"/>
    <mergeCell ref="D407:F407"/>
    <mergeCell ref="D406:F406"/>
    <mergeCell ref="D19:E19"/>
    <mergeCell ref="F19:G19"/>
    <mergeCell ref="B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B20:C20"/>
    <mergeCell ref="D20:E20"/>
    <mergeCell ref="F20:G20"/>
    <mergeCell ref="B21:C21"/>
    <mergeCell ref="D21:E21"/>
    <mergeCell ref="F21:G21"/>
    <mergeCell ref="D16:E16"/>
    <mergeCell ref="B14:C14"/>
    <mergeCell ref="B16:C16"/>
    <mergeCell ref="B15:C15"/>
    <mergeCell ref="B17:C17"/>
    <mergeCell ref="D17:E17"/>
    <mergeCell ref="B24:C24"/>
    <mergeCell ref="F18:G18"/>
    <mergeCell ref="D24:E24"/>
    <mergeCell ref="F17:G17"/>
    <mergeCell ref="B18:C18"/>
    <mergeCell ref="D18:E18"/>
    <mergeCell ref="B19:C19"/>
    <mergeCell ref="B22:C22"/>
    <mergeCell ref="D22:E22"/>
    <mergeCell ref="F22:G22"/>
    <mergeCell ref="B23:C23"/>
    <mergeCell ref="D23:E23"/>
    <mergeCell ref="H206:I206"/>
    <mergeCell ref="H34:I34"/>
    <mergeCell ref="H197:I197"/>
    <mergeCell ref="H201:I201"/>
    <mergeCell ref="H202:I202"/>
    <mergeCell ref="H38:I38"/>
    <mergeCell ref="H37:I37"/>
    <mergeCell ref="H36:I36"/>
    <mergeCell ref="H35:I35"/>
    <mergeCell ref="H39:I39"/>
    <mergeCell ref="H40:I40"/>
    <mergeCell ref="H41:I41"/>
    <mergeCell ref="B200:I200"/>
    <mergeCell ref="H30:I30"/>
    <mergeCell ref="D30:E30"/>
    <mergeCell ref="F34:G34"/>
    <mergeCell ref="B30:C30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46:C46"/>
    <mergeCell ref="D46:E46"/>
    <mergeCell ref="F46:G46"/>
    <mergeCell ref="H46:I46"/>
    <mergeCell ref="B47:C47"/>
    <mergeCell ref="D47:E47"/>
    <mergeCell ref="F47:G47"/>
    <mergeCell ref="H47:I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H67:I67"/>
    <mergeCell ref="B68:C68"/>
    <mergeCell ref="D68:E68"/>
    <mergeCell ref="F68:G68"/>
    <mergeCell ref="H68:I68"/>
    <mergeCell ref="B69:C69"/>
    <mergeCell ref="D69:E69"/>
    <mergeCell ref="F69:G69"/>
    <mergeCell ref="H69:I69"/>
    <mergeCell ref="B60:C60"/>
    <mergeCell ref="D60:E60"/>
    <mergeCell ref="F60:G60"/>
    <mergeCell ref="H60:I60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63:G63"/>
    <mergeCell ref="H63:I63"/>
    <mergeCell ref="B64:C64"/>
    <mergeCell ref="D64:E64"/>
    <mergeCell ref="F64:G64"/>
    <mergeCell ref="H64:I64"/>
    <mergeCell ref="L265:M265"/>
    <mergeCell ref="L266:M266"/>
    <mergeCell ref="L267:M267"/>
    <mergeCell ref="B70:C70"/>
    <mergeCell ref="D70:E70"/>
    <mergeCell ref="F70:G70"/>
    <mergeCell ref="H70:I70"/>
    <mergeCell ref="B71:C71"/>
    <mergeCell ref="D71:E71"/>
    <mergeCell ref="F71:G71"/>
    <mergeCell ref="H71:I71"/>
    <mergeCell ref="F37:G37"/>
    <mergeCell ref="F38:G38"/>
    <mergeCell ref="D35:E35"/>
    <mergeCell ref="D36:E36"/>
    <mergeCell ref="D37:E37"/>
    <mergeCell ref="D38:E38"/>
    <mergeCell ref="B35:C35"/>
    <mergeCell ref="B36:C36"/>
    <mergeCell ref="B37:C37"/>
    <mergeCell ref="B38:C38"/>
    <mergeCell ref="B65:C65"/>
    <mergeCell ref="D65:E65"/>
    <mergeCell ref="F65:G65"/>
    <mergeCell ref="H65:I65"/>
    <mergeCell ref="B66:C66"/>
    <mergeCell ref="D66:E66"/>
    <mergeCell ref="F66:G66"/>
    <mergeCell ref="H66:I66"/>
    <mergeCell ref="B67:C67"/>
    <mergeCell ref="D67:E67"/>
    <mergeCell ref="F67:G67"/>
    <mergeCell ref="H262:I262"/>
    <mergeCell ref="J262:K262"/>
    <mergeCell ref="H263:I263"/>
    <mergeCell ref="J263:K263"/>
    <mergeCell ref="J264:K264"/>
    <mergeCell ref="L253:M253"/>
    <mergeCell ref="L252:M252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19:M219"/>
    <mergeCell ref="L220:M220"/>
    <mergeCell ref="L240:M240"/>
    <mergeCell ref="L222:M222"/>
    <mergeCell ref="L242:M242"/>
    <mergeCell ref="G214:H214"/>
    <mergeCell ref="L214:M214"/>
    <mergeCell ref="G238:H238"/>
    <mergeCell ref="L238:M238"/>
    <mergeCell ref="G239:H239"/>
    <mergeCell ref="L239:M239"/>
    <mergeCell ref="L215:M215"/>
    <mergeCell ref="L216:M216"/>
    <mergeCell ref="L290:M290"/>
    <mergeCell ref="J277:K277"/>
    <mergeCell ref="L291:M291"/>
    <mergeCell ref="L292:M292"/>
    <mergeCell ref="J252:K252"/>
    <mergeCell ref="H252:I252"/>
    <mergeCell ref="J253:K253"/>
    <mergeCell ref="H253:I253"/>
    <mergeCell ref="H254:I254"/>
    <mergeCell ref="J254:K254"/>
    <mergeCell ref="H255:I255"/>
    <mergeCell ref="J255:K255"/>
    <mergeCell ref="H256:I256"/>
    <mergeCell ref="J256:K256"/>
    <mergeCell ref="H257:I257"/>
    <mergeCell ref="J257:K257"/>
    <mergeCell ref="H258:I258"/>
    <mergeCell ref="J258:K258"/>
    <mergeCell ref="H259:I259"/>
    <mergeCell ref="J259:K259"/>
    <mergeCell ref="H260:I260"/>
    <mergeCell ref="J260:K260"/>
    <mergeCell ref="H261:I261"/>
    <mergeCell ref="J261:K261"/>
    <mergeCell ref="L271:M271"/>
    <mergeCell ref="L285:M285"/>
    <mergeCell ref="L288:M288"/>
    <mergeCell ref="H264:I264"/>
    <mergeCell ref="L286:M286"/>
    <mergeCell ref="L287:M287"/>
    <mergeCell ref="L269:M269"/>
    <mergeCell ref="L270:M270"/>
    <mergeCell ref="H291:I291"/>
    <mergeCell ref="J291:K291"/>
    <mergeCell ref="H292:I292"/>
    <mergeCell ref="J292:K292"/>
    <mergeCell ref="B294:M294"/>
    <mergeCell ref="H277:I277"/>
    <mergeCell ref="H278:I278"/>
    <mergeCell ref="J278:K278"/>
    <mergeCell ref="H279:I279"/>
    <mergeCell ref="J279:K279"/>
    <mergeCell ref="H280:I280"/>
    <mergeCell ref="J280:K280"/>
    <mergeCell ref="H281:I281"/>
    <mergeCell ref="J281:K281"/>
    <mergeCell ref="H282:I282"/>
    <mergeCell ref="J282:K282"/>
    <mergeCell ref="H265:I265"/>
    <mergeCell ref="J265:K265"/>
    <mergeCell ref="H266:I266"/>
    <mergeCell ref="J266:K266"/>
    <mergeCell ref="H267:I267"/>
    <mergeCell ref="J267:K267"/>
    <mergeCell ref="H268:I268"/>
    <mergeCell ref="J268:K268"/>
    <mergeCell ref="H269:I269"/>
    <mergeCell ref="J269:K269"/>
    <mergeCell ref="H270:I270"/>
    <mergeCell ref="J270:K270"/>
    <mergeCell ref="H271:I271"/>
    <mergeCell ref="J271:K271"/>
    <mergeCell ref="H272:I272"/>
    <mergeCell ref="J272:K272"/>
    <mergeCell ref="L297:M297"/>
    <mergeCell ref="L298:M298"/>
    <mergeCell ref="L299:M299"/>
    <mergeCell ref="L300:M300"/>
    <mergeCell ref="L302:M302"/>
    <mergeCell ref="L268:M268"/>
    <mergeCell ref="H274:I274"/>
    <mergeCell ref="H275:I275"/>
    <mergeCell ref="J276:K276"/>
    <mergeCell ref="H309:I309"/>
    <mergeCell ref="J309:K309"/>
    <mergeCell ref="H276:I276"/>
    <mergeCell ref="H297:I297"/>
    <mergeCell ref="J297:K297"/>
    <mergeCell ref="H298:I298"/>
    <mergeCell ref="J298:K298"/>
    <mergeCell ref="H299:I299"/>
    <mergeCell ref="J299:K299"/>
    <mergeCell ref="H283:I283"/>
    <mergeCell ref="J283:K283"/>
    <mergeCell ref="H284:I284"/>
    <mergeCell ref="J284:K284"/>
    <mergeCell ref="H285:I285"/>
    <mergeCell ref="J285:K285"/>
    <mergeCell ref="H286:I286"/>
    <mergeCell ref="J286:K286"/>
    <mergeCell ref="H287:I287"/>
    <mergeCell ref="J287:K287"/>
    <mergeCell ref="H288:I288"/>
    <mergeCell ref="J288:K288"/>
    <mergeCell ref="H290:I290"/>
    <mergeCell ref="J290:K290"/>
    <mergeCell ref="H289:I289"/>
    <mergeCell ref="J330:K330"/>
    <mergeCell ref="J289:K289"/>
    <mergeCell ref="L289:M289"/>
    <mergeCell ref="J301:K301"/>
    <mergeCell ref="H302:I302"/>
    <mergeCell ref="J302:K302"/>
    <mergeCell ref="H303:I303"/>
    <mergeCell ref="J303:K303"/>
    <mergeCell ref="H304:I304"/>
    <mergeCell ref="J304:K304"/>
    <mergeCell ref="H305:I305"/>
    <mergeCell ref="J305:K305"/>
    <mergeCell ref="H306:I306"/>
    <mergeCell ref="J306:K306"/>
    <mergeCell ref="H307:I307"/>
    <mergeCell ref="J307:K307"/>
    <mergeCell ref="H308:I308"/>
    <mergeCell ref="J308:K308"/>
    <mergeCell ref="L321:M321"/>
    <mergeCell ref="H295:I295"/>
    <mergeCell ref="J295:K295"/>
    <mergeCell ref="H296:I296"/>
    <mergeCell ref="J296:K296"/>
    <mergeCell ref="L308:M308"/>
    <mergeCell ref="L309:M309"/>
    <mergeCell ref="L304:M304"/>
    <mergeCell ref="L305:M305"/>
    <mergeCell ref="L295:M295"/>
    <mergeCell ref="L296:M296"/>
    <mergeCell ref="L301:M301"/>
    <mergeCell ref="L303:M303"/>
    <mergeCell ref="J338:K338"/>
    <mergeCell ref="H339:I339"/>
    <mergeCell ref="J339:K339"/>
    <mergeCell ref="H340:I340"/>
    <mergeCell ref="J310:K310"/>
    <mergeCell ref="H311:I311"/>
    <mergeCell ref="J311:K311"/>
    <mergeCell ref="H312:I312"/>
    <mergeCell ref="J312:K312"/>
    <mergeCell ref="H313:I313"/>
    <mergeCell ref="J313:K313"/>
    <mergeCell ref="H314:I314"/>
    <mergeCell ref="J314:K314"/>
    <mergeCell ref="H315:I315"/>
    <mergeCell ref="J315:K315"/>
    <mergeCell ref="H316:I316"/>
    <mergeCell ref="J316:K316"/>
    <mergeCell ref="H317:I317"/>
    <mergeCell ref="J317:K317"/>
    <mergeCell ref="H318:I318"/>
    <mergeCell ref="J318:K318"/>
    <mergeCell ref="J324:K324"/>
    <mergeCell ref="H310:I310"/>
    <mergeCell ref="H321:I321"/>
    <mergeCell ref="J321:K321"/>
    <mergeCell ref="B359:C359"/>
    <mergeCell ref="B360:C360"/>
    <mergeCell ref="B357:C357"/>
    <mergeCell ref="B355:C355"/>
    <mergeCell ref="D355:E355"/>
    <mergeCell ref="F355:G355"/>
    <mergeCell ref="L355:M355"/>
    <mergeCell ref="B356:C356"/>
    <mergeCell ref="D356:E356"/>
    <mergeCell ref="F356:G356"/>
    <mergeCell ref="H326:I326"/>
    <mergeCell ref="J326:K326"/>
    <mergeCell ref="H327:I327"/>
    <mergeCell ref="J327:K327"/>
    <mergeCell ref="H343:I343"/>
    <mergeCell ref="J343:K343"/>
    <mergeCell ref="H344:I344"/>
    <mergeCell ref="J344:K344"/>
    <mergeCell ref="H345:I345"/>
    <mergeCell ref="J345:K345"/>
    <mergeCell ref="H328:I328"/>
    <mergeCell ref="J328:K328"/>
    <mergeCell ref="H330:I330"/>
    <mergeCell ref="H332:I332"/>
    <mergeCell ref="J332:K332"/>
    <mergeCell ref="H333:I333"/>
    <mergeCell ref="J333:K333"/>
    <mergeCell ref="H334:I334"/>
    <mergeCell ref="J335:K335"/>
    <mergeCell ref="J334:K334"/>
    <mergeCell ref="H335:I335"/>
    <mergeCell ref="H338:I338"/>
    <mergeCell ref="G556:H556"/>
    <mergeCell ref="G502:H502"/>
    <mergeCell ref="G501:H501"/>
    <mergeCell ref="G500:H500"/>
    <mergeCell ref="G489:H489"/>
    <mergeCell ref="G496:H496"/>
    <mergeCell ref="G486:H486"/>
    <mergeCell ref="C553:D553"/>
    <mergeCell ref="C531:D531"/>
    <mergeCell ref="B525:V525"/>
    <mergeCell ref="G526:H527"/>
    <mergeCell ref="I526:J527"/>
    <mergeCell ref="G531:H531"/>
    <mergeCell ref="I500:J500"/>
    <mergeCell ref="I499:J499"/>
    <mergeCell ref="I498:J498"/>
    <mergeCell ref="I491:J491"/>
    <mergeCell ref="I490:J490"/>
    <mergeCell ref="I489:J489"/>
    <mergeCell ref="I488:J488"/>
    <mergeCell ref="I487:J487"/>
    <mergeCell ref="I486:J486"/>
    <mergeCell ref="C496:D496"/>
    <mergeCell ref="I509:J509"/>
    <mergeCell ref="C514:D514"/>
    <mergeCell ref="C520:D520"/>
    <mergeCell ref="G532:H532"/>
    <mergeCell ref="C526:D527"/>
    <mergeCell ref="C528:D528"/>
    <mergeCell ref="I531:J531"/>
    <mergeCell ref="I516:J516"/>
    <mergeCell ref="C516:D516"/>
    <mergeCell ref="S406:T406"/>
    <mergeCell ref="Q406:R406"/>
    <mergeCell ref="S405:T405"/>
    <mergeCell ref="Q405:R405"/>
    <mergeCell ref="B473:C473"/>
    <mergeCell ref="B474:C474"/>
    <mergeCell ref="B475:C475"/>
    <mergeCell ref="B476:C476"/>
    <mergeCell ref="H368:I368"/>
    <mergeCell ref="J368:K368"/>
    <mergeCell ref="H377:I377"/>
    <mergeCell ref="J377:K377"/>
    <mergeCell ref="H380:I380"/>
    <mergeCell ref="J380:K380"/>
    <mergeCell ref="H381:I381"/>
    <mergeCell ref="J381:K381"/>
    <mergeCell ref="H382:I382"/>
    <mergeCell ref="J382:K382"/>
    <mergeCell ref="F372:G372"/>
    <mergeCell ref="H372:I372"/>
    <mergeCell ref="L369:M369"/>
    <mergeCell ref="J369:K369"/>
    <mergeCell ref="B369:C369"/>
    <mergeCell ref="L370:M370"/>
    <mergeCell ref="D405:F405"/>
    <mergeCell ref="D404:F404"/>
    <mergeCell ref="D412:F412"/>
    <mergeCell ref="G408:H408"/>
    <mergeCell ref="G419:H419"/>
    <mergeCell ref="G409:H409"/>
    <mergeCell ref="G418:H418"/>
    <mergeCell ref="Q418:R418"/>
    <mergeCell ref="H370:I370"/>
    <mergeCell ref="F370:G370"/>
    <mergeCell ref="D370:E370"/>
    <mergeCell ref="B370:C370"/>
    <mergeCell ref="B371:C371"/>
    <mergeCell ref="H369:I369"/>
    <mergeCell ref="J370:K370"/>
    <mergeCell ref="H325:I325"/>
    <mergeCell ref="J325:K325"/>
    <mergeCell ref="I556:J556"/>
    <mergeCell ref="C517:D517"/>
    <mergeCell ref="G517:H517"/>
    <mergeCell ref="I517:J517"/>
    <mergeCell ref="C518:D518"/>
    <mergeCell ref="G518:H518"/>
    <mergeCell ref="I518:J518"/>
    <mergeCell ref="J365:K365"/>
    <mergeCell ref="H367:I367"/>
    <mergeCell ref="J367:K367"/>
    <mergeCell ref="C488:D488"/>
    <mergeCell ref="C487:D487"/>
    <mergeCell ref="C486:D486"/>
    <mergeCell ref="C485:D485"/>
    <mergeCell ref="G488:H488"/>
    <mergeCell ref="G494:H494"/>
    <mergeCell ref="G493:H493"/>
    <mergeCell ref="G492:H492"/>
    <mergeCell ref="C493:D493"/>
    <mergeCell ref="C494:D494"/>
    <mergeCell ref="C492:D492"/>
    <mergeCell ref="G487:H487"/>
    <mergeCell ref="K482:V482"/>
    <mergeCell ref="B329:C329"/>
    <mergeCell ref="D329:E329"/>
    <mergeCell ref="F329:G329"/>
    <mergeCell ref="H329:I329"/>
    <mergeCell ref="J329:K329"/>
    <mergeCell ref="L329:M329"/>
    <mergeCell ref="B366:C366"/>
    <mergeCell ref="D366:E366"/>
    <mergeCell ref="F366:G366"/>
    <mergeCell ref="H366:I366"/>
    <mergeCell ref="J366:K366"/>
    <mergeCell ref="L366:M366"/>
    <mergeCell ref="J354:K354"/>
    <mergeCell ref="H355:I355"/>
    <mergeCell ref="J355:K355"/>
    <mergeCell ref="H356:I356"/>
    <mergeCell ref="J356:K356"/>
    <mergeCell ref="H357:I357"/>
    <mergeCell ref="J357:K357"/>
    <mergeCell ref="H346:I346"/>
    <mergeCell ref="H358:I358"/>
    <mergeCell ref="J358:K358"/>
    <mergeCell ref="H359:I359"/>
    <mergeCell ref="J359:K359"/>
    <mergeCell ref="H360:I360"/>
    <mergeCell ref="J360:K360"/>
    <mergeCell ref="H361:I361"/>
    <mergeCell ref="J361:K361"/>
    <mergeCell ref="B351:M351"/>
    <mergeCell ref="J352:K352"/>
    <mergeCell ref="H353:I353"/>
    <mergeCell ref="B358:C358"/>
    <mergeCell ref="H379:I379"/>
    <mergeCell ref="J379:K379"/>
    <mergeCell ref="L379:M379"/>
    <mergeCell ref="B382:C382"/>
    <mergeCell ref="B381:C381"/>
    <mergeCell ref="B380:C380"/>
    <mergeCell ref="B377:C377"/>
    <mergeCell ref="J383:K383"/>
    <mergeCell ref="L377:M377"/>
    <mergeCell ref="L380:M380"/>
    <mergeCell ref="L381:M381"/>
    <mergeCell ref="L382:M382"/>
    <mergeCell ref="J375:K375"/>
    <mergeCell ref="L375:M375"/>
    <mergeCell ref="J372:K372"/>
    <mergeCell ref="L372:M372"/>
    <mergeCell ref="L374:M374"/>
    <mergeCell ref="B375:C375"/>
    <mergeCell ref="D375:E375"/>
    <mergeCell ref="F375:G375"/>
    <mergeCell ref="H375:I375"/>
    <mergeCell ref="H371:I371"/>
    <mergeCell ref="J371:K371"/>
    <mergeCell ref="L371:M371"/>
    <mergeCell ref="B372:C372"/>
    <mergeCell ref="D372:E372"/>
    <mergeCell ref="B373:C373"/>
    <mergeCell ref="D373:E373"/>
    <mergeCell ref="F373:G373"/>
    <mergeCell ref="H373:I373"/>
    <mergeCell ref="J373:K373"/>
    <mergeCell ref="L373:M373"/>
    <mergeCell ref="B374:C374"/>
    <mergeCell ref="D374:E374"/>
    <mergeCell ref="F374:G374"/>
    <mergeCell ref="H374:I374"/>
    <mergeCell ref="J374:K374"/>
    <mergeCell ref="J386:K386"/>
    <mergeCell ref="L386:M386"/>
    <mergeCell ref="B376:C376"/>
    <mergeCell ref="D376:E376"/>
    <mergeCell ref="F376:G376"/>
    <mergeCell ref="H376:I376"/>
    <mergeCell ref="J376:K376"/>
    <mergeCell ref="L376:M376"/>
    <mergeCell ref="B378:C378"/>
    <mergeCell ref="D378:E378"/>
    <mergeCell ref="F378:G378"/>
    <mergeCell ref="H378:I378"/>
    <mergeCell ref="J378:K378"/>
    <mergeCell ref="L378:M378"/>
    <mergeCell ref="B379:C379"/>
    <mergeCell ref="D379:E379"/>
  </mergeCells>
  <phoneticPr fontId="32" type="noConversion"/>
  <conditionalFormatting sqref="A528:A587 B528:B585">
    <cfRule type="duplicateValues" dxfId="24" priority="83"/>
  </conditionalFormatting>
  <conditionalFormatting sqref="I727:I731">
    <cfRule type="cellIs" dxfId="23" priority="7" operator="lessThan">
      <formula>-0.1</formula>
    </cfRule>
    <cfRule type="cellIs" dxfId="22" priority="8" operator="greaterThan">
      <formula>0.1</formula>
    </cfRule>
    <cfRule type="cellIs" dxfId="21" priority="9" operator="greaterThan">
      <formula>1</formula>
    </cfRule>
    <cfRule type="cellIs" dxfId="20" priority="10" operator="lessThan">
      <formula>-1</formula>
    </cfRule>
  </conditionalFormatting>
  <conditionalFormatting sqref="I597:J633">
    <cfRule type="cellIs" dxfId="19" priority="35" operator="lessThan">
      <formula>-0.1</formula>
    </cfRule>
    <cfRule type="cellIs" dxfId="18" priority="36" operator="greaterThan">
      <formula>0.1</formula>
    </cfRule>
    <cfRule type="cellIs" dxfId="17" priority="37" operator="greaterThan">
      <formula>1</formula>
    </cfRule>
    <cfRule type="cellIs" dxfId="16" priority="38" operator="lessThan">
      <formula>-1</formula>
    </cfRule>
  </conditionalFormatting>
  <conditionalFormatting sqref="I637:J693">
    <cfRule type="cellIs" dxfId="15" priority="27" operator="lessThan">
      <formula>-0.1</formula>
    </cfRule>
    <cfRule type="cellIs" dxfId="14" priority="28" operator="greaterThan">
      <formula>0.1</formula>
    </cfRule>
    <cfRule type="cellIs" dxfId="13" priority="29" operator="greaterThan">
      <formula>1</formula>
    </cfRule>
    <cfRule type="cellIs" dxfId="12" priority="30" operator="lessThan">
      <formula>-1</formula>
    </cfRule>
  </conditionalFormatting>
  <conditionalFormatting sqref="O703:O710 O714:O722">
    <cfRule type="cellIs" dxfId="11" priority="23" operator="lessThan">
      <formula>-0.1</formula>
    </cfRule>
    <cfRule type="cellIs" dxfId="10" priority="24" operator="greaterThan">
      <formula>0.1</formula>
    </cfRule>
    <cfRule type="cellIs" dxfId="9" priority="25" operator="greaterThan">
      <formula>1</formula>
    </cfRule>
    <cfRule type="cellIs" dxfId="8" priority="26" operator="lessThan">
      <formula>-1</formula>
    </cfRule>
  </conditionalFormatting>
  <conditionalFormatting sqref="O254:S292 Q290:Q293">
    <cfRule type="cellIs" dxfId="7" priority="78" operator="greaterThan">
      <formula>1</formula>
    </cfRule>
    <cfRule type="cellIs" dxfId="6" priority="81" operator="lessThan">
      <formula>-1</formula>
    </cfRule>
  </conditionalFormatting>
  <conditionalFormatting sqref="O297:S349 K394:M394">
    <cfRule type="cellIs" dxfId="5" priority="47" operator="greaterThan">
      <formula>1</formula>
    </cfRule>
    <cfRule type="cellIs" dxfId="4" priority="48" operator="lessThan">
      <formula>-1</formula>
    </cfRule>
  </conditionalFormatting>
  <conditionalFormatting sqref="O354:S393">
    <cfRule type="cellIs" dxfId="3" priority="11" operator="greaterThan">
      <formula>1</formula>
    </cfRule>
    <cfRule type="cellIs" dxfId="2" priority="12" operator="lessThan">
      <formula>-1</formula>
    </cfRule>
  </conditionalFormatting>
  <pageMargins left="0.7" right="0.7" top="0.75" bottom="0.75" header="0.3" footer="0.3"/>
  <pageSetup paperSize="9" scale="3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BY211"/>
  <sheetViews>
    <sheetView zoomScale="70" zoomScaleNormal="70" workbookViewId="0">
      <selection activeCell="K4" sqref="K4"/>
    </sheetView>
  </sheetViews>
  <sheetFormatPr baseColWidth="10" defaultColWidth="10.6640625" defaultRowHeight="13" x14ac:dyDescent="0.15"/>
  <cols>
    <col min="1" max="1" width="9" style="20" bestFit="1" customWidth="1"/>
    <col min="2" max="2" width="11.83203125" style="102" customWidth="1"/>
    <col min="3" max="3" width="31.5" style="97" customWidth="1"/>
    <col min="4" max="4" width="7.6640625" style="20" bestFit="1" customWidth="1"/>
    <col min="5" max="5" width="6.5" style="20" bestFit="1" customWidth="1"/>
    <col min="6" max="6" width="8" style="20" bestFit="1" customWidth="1"/>
    <col min="7" max="24" width="5.5" style="20" customWidth="1"/>
    <col min="25" max="37" width="5.5" style="95" customWidth="1"/>
    <col min="38" max="38" width="10.1640625" style="95" customWidth="1"/>
    <col min="39" max="39" width="10" style="95" customWidth="1"/>
    <col min="40" max="40" width="8.5" style="95" customWidth="1"/>
    <col min="41" max="41" width="5.83203125" style="95" bestFit="1" customWidth="1"/>
    <col min="42" max="42" width="9.5" style="95" customWidth="1"/>
    <col min="43" max="43" width="15.5" style="95" customWidth="1"/>
    <col min="44" max="44" width="11.6640625" style="95" bestFit="1" customWidth="1"/>
    <col min="45" max="45" width="0" style="95" hidden="1" customWidth="1"/>
    <col min="46" max="46" width="4.6640625" style="95" bestFit="1" customWidth="1"/>
    <col min="47" max="48" width="5" style="95" bestFit="1" customWidth="1"/>
    <col min="49" max="50" width="11" style="95" bestFit="1" customWidth="1"/>
    <col min="51" max="51" width="12.5" style="95" bestFit="1" customWidth="1"/>
    <col min="52" max="54" width="4.83203125" style="95" bestFit="1" customWidth="1"/>
    <col min="55" max="56" width="5.6640625" style="95" bestFit="1" customWidth="1"/>
    <col min="57" max="57" width="10.33203125" style="95" customWidth="1"/>
    <col min="58" max="58" width="16.6640625" style="95" bestFit="1" customWidth="1"/>
    <col min="59" max="59" width="9.33203125" style="95" bestFit="1" customWidth="1"/>
    <col min="60" max="60" width="4.5" style="95" bestFit="1" customWidth="1"/>
    <col min="61" max="68" width="4.83203125" style="95" bestFit="1" customWidth="1"/>
    <col min="69" max="70" width="5.6640625" style="95" bestFit="1" customWidth="1"/>
    <col min="71" max="71" width="10" style="95" bestFit="1" customWidth="1"/>
    <col min="72" max="72" width="15.6640625" style="95" bestFit="1" customWidth="1"/>
    <col min="73" max="73" width="12.5" style="95" bestFit="1" customWidth="1"/>
    <col min="74" max="75" width="10.6640625" style="20"/>
    <col min="76" max="76" width="17" style="20" customWidth="1"/>
    <col min="77" max="77" width="75.5" style="20" customWidth="1"/>
    <col min="78" max="16384" width="10.6640625" style="20"/>
  </cols>
  <sheetData>
    <row r="8" spans="1:75" ht="18" x14ac:dyDescent="0.15">
      <c r="B8" s="103" t="s">
        <v>669</v>
      </c>
    </row>
    <row r="9" spans="1:75" ht="18" x14ac:dyDescent="0.15">
      <c r="B9" s="103"/>
    </row>
    <row r="10" spans="1:75" x14ac:dyDescent="0.15">
      <c r="B10" s="101" t="s">
        <v>958</v>
      </c>
      <c r="Y10" s="20"/>
      <c r="BV10" s="95"/>
      <c r="BW10" s="95"/>
    </row>
    <row r="11" spans="1:75" ht="14" thickBot="1" x14ac:dyDescent="0.2">
      <c r="B11" s="101"/>
      <c r="Y11" s="20"/>
      <c r="BV11" s="95"/>
      <c r="BW11" s="95"/>
    </row>
    <row r="12" spans="1:75" s="54" customFormat="1" ht="15" customHeight="1" thickBot="1" x14ac:dyDescent="0.25">
      <c r="B12" s="104"/>
      <c r="C12" s="98"/>
      <c r="D12" s="88"/>
      <c r="E12" s="88"/>
      <c r="F12" s="88"/>
      <c r="G12" s="1182" t="s">
        <v>671</v>
      </c>
      <c r="H12" s="1183"/>
      <c r="I12" s="1183"/>
      <c r="J12" s="1183"/>
      <c r="K12" s="1183"/>
      <c r="L12" s="1183"/>
      <c r="M12" s="1182" t="s">
        <v>672</v>
      </c>
      <c r="N12" s="1183"/>
      <c r="O12" s="1183"/>
      <c r="P12" s="1183"/>
      <c r="Q12" s="1183"/>
      <c r="R12" s="1183"/>
      <c r="S12" s="1183"/>
      <c r="T12" s="1183"/>
      <c r="U12" s="1183"/>
      <c r="V12" s="1183"/>
      <c r="W12" s="1183"/>
      <c r="X12" s="1183"/>
      <c r="Y12" s="1183"/>
      <c r="Z12" s="1183"/>
      <c r="AA12" s="1182" t="s">
        <v>673</v>
      </c>
      <c r="AB12" s="1183"/>
      <c r="AC12" s="1183"/>
      <c r="AD12" s="1183"/>
      <c r="AE12" s="1183"/>
      <c r="AF12" s="1183"/>
      <c r="AG12" s="1183"/>
      <c r="AH12" s="1183"/>
      <c r="AI12" s="1183"/>
      <c r="AJ12" s="1183"/>
      <c r="AK12" s="1183"/>
      <c r="AL12" s="1183"/>
      <c r="AM12" s="1183"/>
      <c r="AN12" s="1184"/>
      <c r="AO12" s="98"/>
    </row>
    <row r="13" spans="1:75" s="54" customFormat="1" ht="25" thickBot="1" x14ac:dyDescent="0.25">
      <c r="B13" s="324" t="s">
        <v>674</v>
      </c>
      <c r="C13" s="324" t="s">
        <v>250</v>
      </c>
      <c r="D13" s="325" t="s">
        <v>752</v>
      </c>
      <c r="E13" s="325" t="s">
        <v>251</v>
      </c>
      <c r="F13" s="326" t="s">
        <v>932</v>
      </c>
      <c r="G13" s="327" t="s">
        <v>677</v>
      </c>
      <c r="H13" s="327" t="s">
        <v>678</v>
      </c>
      <c r="I13" s="327" t="s">
        <v>679</v>
      </c>
      <c r="J13" s="327" t="s">
        <v>680</v>
      </c>
      <c r="K13" s="327" t="s">
        <v>681</v>
      </c>
      <c r="L13" s="328" t="s">
        <v>682</v>
      </c>
      <c r="M13" s="327" t="s">
        <v>683</v>
      </c>
      <c r="N13" s="327" t="s">
        <v>684</v>
      </c>
      <c r="O13" s="327" t="s">
        <v>685</v>
      </c>
      <c r="P13" s="327" t="s">
        <v>686</v>
      </c>
      <c r="Q13" s="327" t="s">
        <v>687</v>
      </c>
      <c r="R13" s="327" t="s">
        <v>688</v>
      </c>
      <c r="S13" s="350" t="s">
        <v>689</v>
      </c>
      <c r="T13" s="350" t="s">
        <v>690</v>
      </c>
      <c r="U13" s="350" t="s">
        <v>691</v>
      </c>
      <c r="V13" s="351" t="s">
        <v>692</v>
      </c>
      <c r="W13" s="351" t="s">
        <v>693</v>
      </c>
      <c r="X13" s="351" t="s">
        <v>694</v>
      </c>
      <c r="Y13" s="351" t="s">
        <v>695</v>
      </c>
      <c r="Z13" s="351" t="s">
        <v>696</v>
      </c>
      <c r="AA13" s="352" t="s">
        <v>699</v>
      </c>
      <c r="AB13" s="352" t="s">
        <v>700</v>
      </c>
      <c r="AC13" s="352" t="s">
        <v>701</v>
      </c>
      <c r="AD13" s="329" t="s">
        <v>702</v>
      </c>
      <c r="AE13" s="329" t="s">
        <v>703</v>
      </c>
      <c r="AF13" s="329" t="s">
        <v>704</v>
      </c>
      <c r="AG13" s="329" t="s">
        <v>705</v>
      </c>
      <c r="AH13" s="329" t="s">
        <v>706</v>
      </c>
      <c r="AI13" s="329" t="s">
        <v>707</v>
      </c>
      <c r="AJ13" s="329" t="s">
        <v>708</v>
      </c>
      <c r="AK13" s="330" t="s">
        <v>709</v>
      </c>
      <c r="AL13" s="74" t="s">
        <v>710</v>
      </c>
      <c r="AM13" s="74" t="s">
        <v>933</v>
      </c>
      <c r="AN13" s="74" t="s">
        <v>712</v>
      </c>
      <c r="AO13" s="98"/>
    </row>
    <row r="14" spans="1:75" s="54" customFormat="1" ht="15" x14ac:dyDescent="0.15">
      <c r="A14" s="20"/>
      <c r="B14" s="331">
        <v>37204010</v>
      </c>
      <c r="C14" s="75" t="s">
        <v>552</v>
      </c>
      <c r="D14" s="89">
        <v>9</v>
      </c>
      <c r="E14" s="392" t="s">
        <v>713</v>
      </c>
      <c r="F14" s="332" t="s">
        <v>934</v>
      </c>
      <c r="G14" s="353" t="s">
        <v>23</v>
      </c>
      <c r="H14" s="354"/>
      <c r="I14" s="354"/>
      <c r="J14" s="354" t="s">
        <v>23</v>
      </c>
      <c r="K14" s="354"/>
      <c r="L14" s="355" t="s">
        <v>23</v>
      </c>
      <c r="M14" s="356"/>
      <c r="N14" s="354"/>
      <c r="O14" s="354"/>
      <c r="P14" s="354"/>
      <c r="Q14" s="354" t="s">
        <v>23</v>
      </c>
      <c r="R14" s="354"/>
      <c r="S14" s="354"/>
      <c r="T14" s="354"/>
      <c r="U14" s="354" t="s">
        <v>23</v>
      </c>
      <c r="V14" s="354"/>
      <c r="W14" s="354"/>
      <c r="X14" s="354"/>
      <c r="Y14" s="354"/>
      <c r="Z14" s="355"/>
      <c r="AA14" s="357"/>
      <c r="AB14" s="358"/>
      <c r="AC14" s="358"/>
      <c r="AD14" s="358">
        <v>40</v>
      </c>
      <c r="AE14" s="358"/>
      <c r="AF14" s="358">
        <v>16</v>
      </c>
      <c r="AG14" s="358">
        <v>30</v>
      </c>
      <c r="AH14" s="358"/>
      <c r="AI14" s="358"/>
      <c r="AJ14" s="358">
        <v>9</v>
      </c>
      <c r="AK14" s="358">
        <v>130</v>
      </c>
      <c r="AL14" s="357">
        <v>90</v>
      </c>
      <c r="AM14" s="358">
        <v>135</v>
      </c>
      <c r="AN14" s="359">
        <f>SUM(AL14:AM14)</f>
        <v>225</v>
      </c>
      <c r="AO14" s="98"/>
    </row>
    <row r="15" spans="1:75" s="54" customFormat="1" ht="15" x14ac:dyDescent="0.15">
      <c r="A15" s="20"/>
      <c r="B15" s="333">
        <v>37204011</v>
      </c>
      <c r="C15" s="78" t="s">
        <v>553</v>
      </c>
      <c r="D15" s="91">
        <v>3</v>
      </c>
      <c r="E15" s="393" t="s">
        <v>713</v>
      </c>
      <c r="F15" s="334" t="s">
        <v>934</v>
      </c>
      <c r="G15" s="360" t="s">
        <v>23</v>
      </c>
      <c r="H15" s="361"/>
      <c r="I15" s="361"/>
      <c r="J15" s="361"/>
      <c r="K15" s="361"/>
      <c r="L15" s="362" t="s">
        <v>23</v>
      </c>
      <c r="M15" s="363"/>
      <c r="N15" s="361"/>
      <c r="O15" s="361"/>
      <c r="P15" s="361"/>
      <c r="Q15" s="362" t="s">
        <v>23</v>
      </c>
      <c r="R15" s="361"/>
      <c r="S15" s="361"/>
      <c r="T15" s="361"/>
      <c r="U15" s="361"/>
      <c r="V15" s="361"/>
      <c r="W15" s="361"/>
      <c r="X15" s="361"/>
      <c r="Y15" s="361"/>
      <c r="Z15" s="362"/>
      <c r="AA15" s="364">
        <v>1</v>
      </c>
      <c r="AB15" s="92"/>
      <c r="AC15" s="92"/>
      <c r="AD15" s="365"/>
      <c r="AE15" s="365"/>
      <c r="AF15" s="365"/>
      <c r="AG15" s="92">
        <v>22</v>
      </c>
      <c r="AH15" s="92"/>
      <c r="AI15" s="92"/>
      <c r="AJ15" s="92">
        <v>12</v>
      </c>
      <c r="AK15" s="92">
        <v>40</v>
      </c>
      <c r="AL15" s="364">
        <v>30</v>
      </c>
      <c r="AM15" s="92">
        <v>45</v>
      </c>
      <c r="AN15" s="366">
        <f t="shared" ref="AN15:AN71" si="0">SUM(AL15:AM15)</f>
        <v>75</v>
      </c>
      <c r="AO15" s="98"/>
    </row>
    <row r="16" spans="1:75" s="54" customFormat="1" ht="15" x14ac:dyDescent="0.15">
      <c r="A16" s="20"/>
      <c r="B16" s="333" t="s">
        <v>714</v>
      </c>
      <c r="C16" s="78" t="s">
        <v>554</v>
      </c>
      <c r="D16" s="91">
        <v>6</v>
      </c>
      <c r="E16" s="393" t="s">
        <v>713</v>
      </c>
      <c r="F16" s="334" t="s">
        <v>935</v>
      </c>
      <c r="G16" s="360" t="s">
        <v>23</v>
      </c>
      <c r="H16" s="361" t="s">
        <v>23</v>
      </c>
      <c r="I16" s="361"/>
      <c r="J16" s="361" t="s">
        <v>23</v>
      </c>
      <c r="K16" s="361" t="s">
        <v>23</v>
      </c>
      <c r="L16" s="362"/>
      <c r="M16" s="363"/>
      <c r="N16" s="361"/>
      <c r="O16" s="361"/>
      <c r="P16" s="361"/>
      <c r="Q16" s="361" t="s">
        <v>23</v>
      </c>
      <c r="R16" s="361"/>
      <c r="S16" s="361"/>
      <c r="T16" s="361"/>
      <c r="U16" s="361"/>
      <c r="V16" s="361"/>
      <c r="W16" s="361"/>
      <c r="X16" s="361"/>
      <c r="Y16" s="362" t="s">
        <v>23</v>
      </c>
      <c r="Z16" s="362"/>
      <c r="AA16" s="364"/>
      <c r="AB16" s="92"/>
      <c r="AC16" s="92"/>
      <c r="AD16" s="367">
        <v>49.5</v>
      </c>
      <c r="AE16" s="92"/>
      <c r="AF16" s="92"/>
      <c r="AG16" s="92">
        <v>5</v>
      </c>
      <c r="AH16" s="92"/>
      <c r="AI16" s="92"/>
      <c r="AJ16" s="92">
        <v>32</v>
      </c>
      <c r="AK16" s="92">
        <v>63.5</v>
      </c>
      <c r="AL16" s="364">
        <v>58</v>
      </c>
      <c r="AM16" s="92">
        <v>92</v>
      </c>
      <c r="AN16" s="366">
        <f t="shared" si="0"/>
        <v>150</v>
      </c>
      <c r="AO16" s="98"/>
    </row>
    <row r="17" spans="1:42" s="54" customFormat="1" ht="24" x14ac:dyDescent="0.15">
      <c r="A17" s="20"/>
      <c r="B17" s="333" t="s">
        <v>715</v>
      </c>
      <c r="C17" s="78" t="s">
        <v>555</v>
      </c>
      <c r="D17" s="91">
        <v>6</v>
      </c>
      <c r="E17" s="393" t="s">
        <v>713</v>
      </c>
      <c r="F17" s="334" t="s">
        <v>935</v>
      </c>
      <c r="G17" s="360" t="s">
        <v>23</v>
      </c>
      <c r="H17" s="361" t="s">
        <v>23</v>
      </c>
      <c r="I17" s="361"/>
      <c r="J17" s="361" t="s">
        <v>23</v>
      </c>
      <c r="K17" s="361" t="s">
        <v>23</v>
      </c>
      <c r="L17" s="362"/>
      <c r="M17" s="363"/>
      <c r="N17" s="361"/>
      <c r="O17" s="361"/>
      <c r="P17" s="361"/>
      <c r="Q17" s="361" t="s">
        <v>23</v>
      </c>
      <c r="R17" s="361"/>
      <c r="S17" s="361"/>
      <c r="T17" s="361"/>
      <c r="U17" s="361"/>
      <c r="V17" s="361"/>
      <c r="W17" s="361"/>
      <c r="X17" s="361"/>
      <c r="Y17" s="361"/>
      <c r="Z17" s="362"/>
      <c r="AA17" s="364"/>
      <c r="AB17" s="92"/>
      <c r="AC17" s="92"/>
      <c r="AD17" s="92">
        <v>48</v>
      </c>
      <c r="AE17" s="92"/>
      <c r="AF17" s="92"/>
      <c r="AG17" s="92">
        <v>4</v>
      </c>
      <c r="AH17" s="92"/>
      <c r="AI17" s="92"/>
      <c r="AJ17" s="92">
        <v>26</v>
      </c>
      <c r="AK17" s="92">
        <v>72</v>
      </c>
      <c r="AL17" s="364">
        <v>60</v>
      </c>
      <c r="AM17" s="92">
        <v>90</v>
      </c>
      <c r="AN17" s="366">
        <f t="shared" si="0"/>
        <v>150</v>
      </c>
      <c r="AO17" s="98"/>
    </row>
    <row r="18" spans="1:42" s="54" customFormat="1" ht="24" x14ac:dyDescent="0.15">
      <c r="A18" s="20"/>
      <c r="B18" s="333" t="s">
        <v>716</v>
      </c>
      <c r="C18" s="78" t="s">
        <v>556</v>
      </c>
      <c r="D18" s="91">
        <v>6</v>
      </c>
      <c r="E18" s="393" t="s">
        <v>713</v>
      </c>
      <c r="F18" s="334" t="s">
        <v>936</v>
      </c>
      <c r="G18" s="360" t="s">
        <v>23</v>
      </c>
      <c r="H18" s="361"/>
      <c r="I18" s="361"/>
      <c r="J18" s="361"/>
      <c r="K18" s="361" t="s">
        <v>23</v>
      </c>
      <c r="L18" s="362" t="s">
        <v>23</v>
      </c>
      <c r="M18" s="363"/>
      <c r="N18" s="361"/>
      <c r="O18" s="361"/>
      <c r="P18" s="361" t="s">
        <v>23</v>
      </c>
      <c r="Q18" s="361" t="s">
        <v>23</v>
      </c>
      <c r="R18" s="361"/>
      <c r="S18" s="361"/>
      <c r="T18" s="361"/>
      <c r="U18" s="361"/>
      <c r="V18" s="361"/>
      <c r="W18" s="361"/>
      <c r="X18" s="361"/>
      <c r="Y18" s="361"/>
      <c r="Z18" s="362"/>
      <c r="AA18" s="364"/>
      <c r="AB18" s="92"/>
      <c r="AC18" s="92"/>
      <c r="AD18" s="92"/>
      <c r="AE18" s="92"/>
      <c r="AF18" s="92"/>
      <c r="AG18" s="92">
        <v>2</v>
      </c>
      <c r="AH18" s="92"/>
      <c r="AI18" s="92">
        <v>28</v>
      </c>
      <c r="AJ18" s="92">
        <v>8</v>
      </c>
      <c r="AK18" s="92">
        <v>112</v>
      </c>
      <c r="AL18" s="364">
        <v>60</v>
      </c>
      <c r="AM18" s="92">
        <v>90</v>
      </c>
      <c r="AN18" s="366">
        <f t="shared" si="0"/>
        <v>150</v>
      </c>
      <c r="AO18" s="98"/>
    </row>
    <row r="19" spans="1:42" s="54" customFormat="1" ht="15" x14ac:dyDescent="0.15">
      <c r="A19" s="20"/>
      <c r="B19" s="333" t="s">
        <v>717</v>
      </c>
      <c r="C19" s="78" t="s">
        <v>557</v>
      </c>
      <c r="D19" s="91">
        <v>6</v>
      </c>
      <c r="E19" s="393" t="s">
        <v>713</v>
      </c>
      <c r="F19" s="334" t="s">
        <v>937</v>
      </c>
      <c r="G19" s="360" t="s">
        <v>23</v>
      </c>
      <c r="H19" s="361"/>
      <c r="I19" s="361"/>
      <c r="J19" s="361"/>
      <c r="K19" s="361" t="s">
        <v>23</v>
      </c>
      <c r="L19" s="362" t="s">
        <v>23</v>
      </c>
      <c r="M19" s="363"/>
      <c r="N19" s="361"/>
      <c r="O19" s="361"/>
      <c r="P19" s="361"/>
      <c r="Q19" s="361" t="s">
        <v>23</v>
      </c>
      <c r="R19" s="361"/>
      <c r="S19" s="361"/>
      <c r="T19" s="361"/>
      <c r="U19" s="361"/>
      <c r="V19" s="361"/>
      <c r="W19" s="361"/>
      <c r="X19" s="361"/>
      <c r="Y19" s="361"/>
      <c r="Z19" s="362"/>
      <c r="AA19" s="364">
        <v>2</v>
      </c>
      <c r="AB19" s="92"/>
      <c r="AC19" s="92"/>
      <c r="AD19" s="92"/>
      <c r="AE19" s="92"/>
      <c r="AF19" s="92"/>
      <c r="AG19" s="92">
        <v>30</v>
      </c>
      <c r="AH19" s="92"/>
      <c r="AI19" s="92"/>
      <c r="AJ19" s="92">
        <v>30</v>
      </c>
      <c r="AK19" s="92">
        <v>88</v>
      </c>
      <c r="AL19" s="364">
        <v>64</v>
      </c>
      <c r="AM19" s="92">
        <v>86</v>
      </c>
      <c r="AN19" s="366">
        <f t="shared" si="0"/>
        <v>150</v>
      </c>
      <c r="AO19" s="98"/>
    </row>
    <row r="20" spans="1:42" s="54" customFormat="1" ht="15" x14ac:dyDescent="0.15">
      <c r="A20" s="20"/>
      <c r="B20" s="333" t="s">
        <v>718</v>
      </c>
      <c r="C20" s="78" t="s">
        <v>558</v>
      </c>
      <c r="D20" s="91">
        <v>3</v>
      </c>
      <c r="E20" s="393" t="s">
        <v>713</v>
      </c>
      <c r="F20" s="334" t="s">
        <v>938</v>
      </c>
      <c r="G20" s="360" t="s">
        <v>23</v>
      </c>
      <c r="H20" s="361"/>
      <c r="I20" s="361"/>
      <c r="J20" s="361" t="s">
        <v>23</v>
      </c>
      <c r="K20" s="361" t="s">
        <v>23</v>
      </c>
      <c r="L20" s="362" t="s">
        <v>23</v>
      </c>
      <c r="M20" s="363"/>
      <c r="N20" s="361"/>
      <c r="O20" s="361"/>
      <c r="P20" s="361"/>
      <c r="Q20" s="361" t="s">
        <v>23</v>
      </c>
      <c r="R20" s="361"/>
      <c r="S20" s="361" t="s">
        <v>23</v>
      </c>
      <c r="T20" s="361"/>
      <c r="U20" s="361"/>
      <c r="V20" s="361"/>
      <c r="W20" s="361"/>
      <c r="X20" s="361"/>
      <c r="Y20" s="361" t="s">
        <v>23</v>
      </c>
      <c r="Z20" s="362"/>
      <c r="AA20" s="364"/>
      <c r="AB20" s="92"/>
      <c r="AC20" s="92"/>
      <c r="AD20" s="92"/>
      <c r="AE20" s="92"/>
      <c r="AF20" s="92"/>
      <c r="AG20" s="92">
        <v>2</v>
      </c>
      <c r="AH20" s="92"/>
      <c r="AI20" s="92"/>
      <c r="AJ20" s="92">
        <v>14</v>
      </c>
      <c r="AK20" s="92">
        <v>59</v>
      </c>
      <c r="AL20" s="364">
        <v>30</v>
      </c>
      <c r="AM20" s="92">
        <v>45</v>
      </c>
      <c r="AN20" s="366">
        <f t="shared" si="0"/>
        <v>75</v>
      </c>
      <c r="AO20" s="98"/>
    </row>
    <row r="21" spans="1:42" s="54" customFormat="1" ht="15" x14ac:dyDescent="0.15">
      <c r="A21" s="20"/>
      <c r="B21" s="333">
        <v>37204012</v>
      </c>
      <c r="C21" s="78" t="s">
        <v>923</v>
      </c>
      <c r="D21" s="91">
        <v>3</v>
      </c>
      <c r="E21" s="393" t="s">
        <v>713</v>
      </c>
      <c r="F21" s="334" t="s">
        <v>939</v>
      </c>
      <c r="G21" s="360" t="s">
        <v>23</v>
      </c>
      <c r="H21" s="361"/>
      <c r="I21" s="361"/>
      <c r="J21" s="361"/>
      <c r="K21" s="361" t="s">
        <v>23</v>
      </c>
      <c r="L21" s="362" t="s">
        <v>23</v>
      </c>
      <c r="M21" s="363"/>
      <c r="N21" s="361"/>
      <c r="O21" s="361"/>
      <c r="P21" s="361"/>
      <c r="Q21" s="362" t="s">
        <v>23</v>
      </c>
      <c r="R21" s="361"/>
      <c r="S21" s="361"/>
      <c r="T21" s="361"/>
      <c r="U21" s="361"/>
      <c r="V21" s="361"/>
      <c r="W21" s="361"/>
      <c r="X21" s="361"/>
      <c r="Y21" s="361"/>
      <c r="Z21" s="362"/>
      <c r="AA21" s="364"/>
      <c r="AB21" s="92"/>
      <c r="AC21" s="92"/>
      <c r="AD21" s="92">
        <v>4</v>
      </c>
      <c r="AE21" s="92"/>
      <c r="AF21" s="92"/>
      <c r="AG21" s="92">
        <v>12</v>
      </c>
      <c r="AH21" s="92"/>
      <c r="AI21" s="92"/>
      <c r="AJ21" s="92">
        <v>4</v>
      </c>
      <c r="AK21" s="92">
        <v>55</v>
      </c>
      <c r="AL21" s="364">
        <v>30</v>
      </c>
      <c r="AM21" s="92">
        <v>45</v>
      </c>
      <c r="AN21" s="366">
        <f t="shared" si="0"/>
        <v>75</v>
      </c>
      <c r="AO21" s="98"/>
    </row>
    <row r="22" spans="1:42" s="54" customFormat="1" ht="24" x14ac:dyDescent="0.15">
      <c r="A22" s="20"/>
      <c r="B22" s="333" t="s">
        <v>719</v>
      </c>
      <c r="C22" s="78" t="s">
        <v>559</v>
      </c>
      <c r="D22" s="91">
        <v>6</v>
      </c>
      <c r="E22" s="393" t="s">
        <v>713</v>
      </c>
      <c r="F22" s="334" t="s">
        <v>940</v>
      </c>
      <c r="G22" s="360" t="s">
        <v>23</v>
      </c>
      <c r="H22" s="361"/>
      <c r="I22" s="361"/>
      <c r="J22" s="361" t="s">
        <v>23</v>
      </c>
      <c r="K22" s="361" t="s">
        <v>23</v>
      </c>
      <c r="L22" s="362" t="s">
        <v>23</v>
      </c>
      <c r="M22" s="363"/>
      <c r="N22" s="361"/>
      <c r="O22" s="361"/>
      <c r="P22" s="361"/>
      <c r="Q22" s="361" t="s">
        <v>23</v>
      </c>
      <c r="R22" s="361"/>
      <c r="S22" s="361"/>
      <c r="T22" s="361"/>
      <c r="U22" s="361" t="s">
        <v>23</v>
      </c>
      <c r="V22" s="361"/>
      <c r="W22" s="361"/>
      <c r="X22" s="361"/>
      <c r="Y22" s="361" t="s">
        <v>23</v>
      </c>
      <c r="Z22" s="362"/>
      <c r="AA22" s="364">
        <v>2</v>
      </c>
      <c r="AB22" s="92"/>
      <c r="AC22" s="92"/>
      <c r="AD22" s="92">
        <v>63</v>
      </c>
      <c r="AE22" s="92"/>
      <c r="AF22" s="92"/>
      <c r="AG22" s="92">
        <v>26</v>
      </c>
      <c r="AH22" s="92"/>
      <c r="AI22" s="92"/>
      <c r="AJ22" s="92">
        <v>16</v>
      </c>
      <c r="AK22" s="92">
        <v>43</v>
      </c>
      <c r="AL22" s="364">
        <v>60</v>
      </c>
      <c r="AM22" s="92">
        <v>90</v>
      </c>
      <c r="AN22" s="366">
        <f t="shared" si="0"/>
        <v>150</v>
      </c>
      <c r="AO22" s="98"/>
    </row>
    <row r="23" spans="1:42" s="54" customFormat="1" ht="24" x14ac:dyDescent="0.15">
      <c r="A23" s="20"/>
      <c r="B23" s="333" t="s">
        <v>721</v>
      </c>
      <c r="C23" s="78" t="s">
        <v>560</v>
      </c>
      <c r="D23" s="91">
        <v>6</v>
      </c>
      <c r="E23" s="393" t="s">
        <v>713</v>
      </c>
      <c r="F23" s="334" t="s">
        <v>940</v>
      </c>
      <c r="G23" s="360" t="s">
        <v>23</v>
      </c>
      <c r="H23" s="361"/>
      <c r="I23" s="361"/>
      <c r="J23" s="361" t="s">
        <v>23</v>
      </c>
      <c r="K23" s="361" t="s">
        <v>23</v>
      </c>
      <c r="L23" s="362" t="s">
        <v>23</v>
      </c>
      <c r="M23" s="363"/>
      <c r="N23" s="361"/>
      <c r="O23" s="361"/>
      <c r="P23" s="361"/>
      <c r="Q23" s="361" t="s">
        <v>23</v>
      </c>
      <c r="R23" s="361"/>
      <c r="S23" s="361"/>
      <c r="T23" s="361"/>
      <c r="U23" s="361" t="s">
        <v>23</v>
      </c>
      <c r="V23" s="361"/>
      <c r="W23" s="361"/>
      <c r="X23" s="361"/>
      <c r="Y23" s="361" t="s">
        <v>23</v>
      </c>
      <c r="Z23" s="362"/>
      <c r="AA23" s="364">
        <v>2</v>
      </c>
      <c r="AB23" s="92"/>
      <c r="AC23" s="92"/>
      <c r="AD23" s="92">
        <v>63</v>
      </c>
      <c r="AE23" s="92"/>
      <c r="AF23" s="92"/>
      <c r="AG23" s="92">
        <v>26</v>
      </c>
      <c r="AH23" s="92"/>
      <c r="AI23" s="92"/>
      <c r="AJ23" s="92">
        <v>8</v>
      </c>
      <c r="AK23" s="92">
        <v>43</v>
      </c>
      <c r="AL23" s="364">
        <v>60</v>
      </c>
      <c r="AM23" s="92">
        <v>90</v>
      </c>
      <c r="AN23" s="366">
        <f t="shared" si="0"/>
        <v>150</v>
      </c>
      <c r="AO23" s="98"/>
      <c r="AP23" s="394"/>
    </row>
    <row r="24" spans="1:42" s="54" customFormat="1" ht="15" x14ac:dyDescent="0.15">
      <c r="A24" s="20"/>
      <c r="B24" s="335">
        <v>37204013</v>
      </c>
      <c r="C24" s="336" t="s">
        <v>924</v>
      </c>
      <c r="D24" s="395">
        <v>3</v>
      </c>
      <c r="E24" s="396" t="s">
        <v>713</v>
      </c>
      <c r="F24" s="337" t="s">
        <v>939</v>
      </c>
      <c r="G24" s="360" t="s">
        <v>23</v>
      </c>
      <c r="H24" s="361"/>
      <c r="I24" s="361"/>
      <c r="J24" s="361"/>
      <c r="K24" s="361" t="s">
        <v>23</v>
      </c>
      <c r="L24" s="362" t="s">
        <v>23</v>
      </c>
      <c r="M24" s="363"/>
      <c r="N24" s="361"/>
      <c r="O24" s="361"/>
      <c r="P24" s="361"/>
      <c r="Q24" s="362" t="s">
        <v>23</v>
      </c>
      <c r="R24" s="361"/>
      <c r="S24" s="361"/>
      <c r="T24" s="361"/>
      <c r="U24" s="361"/>
      <c r="V24" s="361"/>
      <c r="W24" s="361"/>
      <c r="X24" s="361"/>
      <c r="Y24" s="361"/>
      <c r="Z24" s="362"/>
      <c r="AA24" s="364">
        <v>1</v>
      </c>
      <c r="AB24" s="92"/>
      <c r="AC24" s="92"/>
      <c r="AD24" s="92"/>
      <c r="AE24" s="92"/>
      <c r="AF24" s="92"/>
      <c r="AG24" s="92">
        <v>22</v>
      </c>
      <c r="AH24" s="92"/>
      <c r="AI24" s="92"/>
      <c r="AJ24" s="92">
        <v>8</v>
      </c>
      <c r="AK24" s="92">
        <v>44</v>
      </c>
      <c r="AL24" s="368">
        <v>30</v>
      </c>
      <c r="AM24" s="369">
        <v>45</v>
      </c>
      <c r="AN24" s="366">
        <f t="shared" si="0"/>
        <v>75</v>
      </c>
      <c r="AO24" s="98"/>
    </row>
    <row r="25" spans="1:42" s="54" customFormat="1" ht="16" thickBot="1" x14ac:dyDescent="0.2">
      <c r="A25" s="20"/>
      <c r="B25" s="338" t="s">
        <v>722</v>
      </c>
      <c r="C25" s="83" t="s">
        <v>561</v>
      </c>
      <c r="D25" s="94">
        <v>3</v>
      </c>
      <c r="E25" s="397" t="s">
        <v>713</v>
      </c>
      <c r="F25" s="339" t="s">
        <v>941</v>
      </c>
      <c r="G25" s="370" t="s">
        <v>23</v>
      </c>
      <c r="H25" s="371"/>
      <c r="I25" s="371"/>
      <c r="J25" s="371" t="s">
        <v>23</v>
      </c>
      <c r="K25" s="371" t="s">
        <v>23</v>
      </c>
      <c r="L25" s="372" t="s">
        <v>23</v>
      </c>
      <c r="M25" s="373"/>
      <c r="N25" s="371"/>
      <c r="O25" s="371"/>
      <c r="P25" s="371"/>
      <c r="Q25" s="371" t="s">
        <v>23</v>
      </c>
      <c r="R25" s="371"/>
      <c r="S25" s="371"/>
      <c r="T25" s="371"/>
      <c r="U25" s="371" t="s">
        <v>23</v>
      </c>
      <c r="V25" s="371"/>
      <c r="W25" s="371"/>
      <c r="X25" s="371"/>
      <c r="Y25" s="371"/>
      <c r="Z25" s="372"/>
      <c r="AA25" s="374">
        <v>2</v>
      </c>
      <c r="AB25" s="375"/>
      <c r="AC25" s="375"/>
      <c r="AD25" s="375">
        <v>48</v>
      </c>
      <c r="AE25" s="375"/>
      <c r="AF25" s="375"/>
      <c r="AG25" s="375">
        <v>12</v>
      </c>
      <c r="AH25" s="375"/>
      <c r="AI25" s="375"/>
      <c r="AJ25" s="375">
        <v>9</v>
      </c>
      <c r="AK25" s="375">
        <v>4</v>
      </c>
      <c r="AL25" s="368">
        <v>30</v>
      </c>
      <c r="AM25" s="369">
        <v>45</v>
      </c>
      <c r="AN25" s="376">
        <f t="shared" si="0"/>
        <v>75</v>
      </c>
      <c r="AO25" s="98"/>
    </row>
    <row r="26" spans="1:42" s="54" customFormat="1" ht="15" x14ac:dyDescent="0.15">
      <c r="A26" s="20"/>
      <c r="B26" s="340" t="s">
        <v>723</v>
      </c>
      <c r="C26" s="85" t="s">
        <v>562</v>
      </c>
      <c r="D26" s="91">
        <v>6</v>
      </c>
      <c r="E26" s="87" t="s">
        <v>724</v>
      </c>
      <c r="F26" s="341" t="s">
        <v>935</v>
      </c>
      <c r="G26" s="353" t="s">
        <v>23</v>
      </c>
      <c r="H26" s="354"/>
      <c r="I26" s="354"/>
      <c r="J26" s="354" t="s">
        <v>23</v>
      </c>
      <c r="K26" s="354" t="s">
        <v>23</v>
      </c>
      <c r="L26" s="355" t="s">
        <v>23</v>
      </c>
      <c r="M26" s="356"/>
      <c r="N26" s="354"/>
      <c r="O26" s="354"/>
      <c r="P26" s="354"/>
      <c r="Q26" s="355" t="s">
        <v>23</v>
      </c>
      <c r="R26" s="354"/>
      <c r="S26" s="354"/>
      <c r="T26" s="354"/>
      <c r="U26" s="354"/>
      <c r="V26" s="354"/>
      <c r="W26" s="354"/>
      <c r="X26" s="354"/>
      <c r="Y26" s="354"/>
      <c r="Z26" s="355"/>
      <c r="AA26" s="377"/>
      <c r="AB26" s="378"/>
      <c r="AC26" s="378">
        <v>27</v>
      </c>
      <c r="AD26" s="378"/>
      <c r="AE26" s="378"/>
      <c r="AF26" s="378">
        <v>3</v>
      </c>
      <c r="AG26" s="378">
        <v>3</v>
      </c>
      <c r="AH26" s="378"/>
      <c r="AI26" s="378"/>
      <c r="AJ26" s="378">
        <v>59</v>
      </c>
      <c r="AK26" s="378">
        <v>58</v>
      </c>
      <c r="AL26" s="377">
        <v>60</v>
      </c>
      <c r="AM26" s="378">
        <v>90</v>
      </c>
      <c r="AN26" s="359">
        <f t="shared" si="0"/>
        <v>150</v>
      </c>
      <c r="AO26" s="98"/>
    </row>
    <row r="27" spans="1:42" s="54" customFormat="1" ht="15" x14ac:dyDescent="0.15">
      <c r="A27" s="20"/>
      <c r="B27" s="340" t="s">
        <v>725</v>
      </c>
      <c r="C27" s="85" t="s">
        <v>563</v>
      </c>
      <c r="D27" s="91">
        <v>3</v>
      </c>
      <c r="E27" s="90" t="s">
        <v>724</v>
      </c>
      <c r="F27" s="342" t="s">
        <v>942</v>
      </c>
      <c r="G27" s="360" t="s">
        <v>23</v>
      </c>
      <c r="H27" s="361" t="s">
        <v>23</v>
      </c>
      <c r="I27" s="361"/>
      <c r="J27" s="361" t="s">
        <v>23</v>
      </c>
      <c r="K27" s="361" t="s">
        <v>23</v>
      </c>
      <c r="L27" s="362"/>
      <c r="M27" s="363"/>
      <c r="N27" s="361"/>
      <c r="O27" s="361"/>
      <c r="P27" s="361"/>
      <c r="Q27" s="361" t="s">
        <v>23</v>
      </c>
      <c r="R27" s="361"/>
      <c r="S27" s="361" t="s">
        <v>23</v>
      </c>
      <c r="T27" s="361"/>
      <c r="U27" s="361"/>
      <c r="V27" s="361"/>
      <c r="W27" s="361"/>
      <c r="X27" s="361"/>
      <c r="Y27" s="361"/>
      <c r="Z27" s="362"/>
      <c r="AA27" s="379">
        <v>1</v>
      </c>
      <c r="AB27" s="380"/>
      <c r="AC27" s="380">
        <v>2</v>
      </c>
      <c r="AD27" s="380"/>
      <c r="AE27" s="380"/>
      <c r="AF27" s="380"/>
      <c r="AG27" s="380">
        <v>2</v>
      </c>
      <c r="AH27" s="380"/>
      <c r="AI27" s="380">
        <v>11</v>
      </c>
      <c r="AJ27" s="380">
        <v>20</v>
      </c>
      <c r="AK27" s="380">
        <v>39</v>
      </c>
      <c r="AL27" s="379">
        <v>34</v>
      </c>
      <c r="AM27" s="380">
        <v>41</v>
      </c>
      <c r="AN27" s="366">
        <f t="shared" si="0"/>
        <v>75</v>
      </c>
      <c r="AO27" s="98"/>
    </row>
    <row r="28" spans="1:42" s="54" customFormat="1" ht="15" x14ac:dyDescent="0.15">
      <c r="A28" s="20"/>
      <c r="B28" s="340" t="s">
        <v>726</v>
      </c>
      <c r="C28" s="85" t="s">
        <v>564</v>
      </c>
      <c r="D28" s="91">
        <v>6</v>
      </c>
      <c r="E28" s="90" t="s">
        <v>724</v>
      </c>
      <c r="F28" s="342" t="s">
        <v>943</v>
      </c>
      <c r="G28" s="360" t="s">
        <v>23</v>
      </c>
      <c r="H28" s="361"/>
      <c r="I28" s="361"/>
      <c r="J28" s="361" t="s">
        <v>23</v>
      </c>
      <c r="K28" s="361" t="s">
        <v>23</v>
      </c>
      <c r="L28" s="362"/>
      <c r="M28" s="363"/>
      <c r="N28" s="361"/>
      <c r="O28" s="361"/>
      <c r="P28" s="361"/>
      <c r="Q28" s="361" t="s">
        <v>23</v>
      </c>
      <c r="R28" s="361"/>
      <c r="S28" s="361"/>
      <c r="T28" s="361"/>
      <c r="U28" s="361" t="s">
        <v>23</v>
      </c>
      <c r="V28" s="361"/>
      <c r="W28" s="361"/>
      <c r="X28" s="361"/>
      <c r="Y28" s="361"/>
      <c r="Z28" s="362"/>
      <c r="AA28" s="379"/>
      <c r="AB28" s="380"/>
      <c r="AC28" s="380">
        <v>2</v>
      </c>
      <c r="AD28" s="380">
        <v>38</v>
      </c>
      <c r="AE28" s="380"/>
      <c r="AF28" s="380"/>
      <c r="AG28" s="380">
        <v>15</v>
      </c>
      <c r="AH28" s="380"/>
      <c r="AI28" s="380"/>
      <c r="AJ28" s="380"/>
      <c r="AK28" s="380">
        <v>95</v>
      </c>
      <c r="AL28" s="379">
        <v>60</v>
      </c>
      <c r="AM28" s="380">
        <v>90</v>
      </c>
      <c r="AN28" s="366">
        <f t="shared" si="0"/>
        <v>150</v>
      </c>
      <c r="AO28" s="98"/>
    </row>
    <row r="29" spans="1:42" s="54" customFormat="1" ht="15" x14ac:dyDescent="0.15">
      <c r="A29" s="20"/>
      <c r="B29" s="340" t="s">
        <v>727</v>
      </c>
      <c r="C29" s="85" t="s">
        <v>565</v>
      </c>
      <c r="D29" s="91">
        <v>6</v>
      </c>
      <c r="E29" s="90" t="s">
        <v>724</v>
      </c>
      <c r="F29" s="342" t="s">
        <v>937</v>
      </c>
      <c r="G29" s="360" t="s">
        <v>23</v>
      </c>
      <c r="H29" s="361"/>
      <c r="I29" s="361"/>
      <c r="J29" s="361" t="s">
        <v>23</v>
      </c>
      <c r="K29" s="361" t="s">
        <v>23</v>
      </c>
      <c r="L29" s="362" t="s">
        <v>23</v>
      </c>
      <c r="M29" s="363"/>
      <c r="N29" s="361"/>
      <c r="O29" s="361"/>
      <c r="P29" s="361"/>
      <c r="Q29" s="362" t="s">
        <v>23</v>
      </c>
      <c r="R29" s="361"/>
      <c r="S29" s="361"/>
      <c r="T29" s="361"/>
      <c r="U29" s="361"/>
      <c r="V29" s="361"/>
      <c r="W29" s="361"/>
      <c r="X29" s="361"/>
      <c r="Y29" s="361"/>
      <c r="Z29" s="362"/>
      <c r="AA29" s="379">
        <v>1</v>
      </c>
      <c r="AB29" s="380"/>
      <c r="AC29" s="380"/>
      <c r="AD29" s="380">
        <v>50</v>
      </c>
      <c r="AE29" s="380"/>
      <c r="AF29" s="380"/>
      <c r="AG29" s="380">
        <v>4</v>
      </c>
      <c r="AH29" s="380"/>
      <c r="AI29" s="380"/>
      <c r="AJ29" s="380">
        <v>16</v>
      </c>
      <c r="AK29" s="380">
        <v>79</v>
      </c>
      <c r="AL29" s="379">
        <v>62</v>
      </c>
      <c r="AM29" s="380">
        <v>88</v>
      </c>
      <c r="AN29" s="366">
        <f t="shared" si="0"/>
        <v>150</v>
      </c>
      <c r="AO29" s="98"/>
    </row>
    <row r="30" spans="1:42" s="54" customFormat="1" ht="24" x14ac:dyDescent="0.15">
      <c r="A30" s="20"/>
      <c r="B30" s="340" t="s">
        <v>728</v>
      </c>
      <c r="C30" s="85" t="s">
        <v>566</v>
      </c>
      <c r="D30" s="91">
        <v>3</v>
      </c>
      <c r="E30" s="90" t="s">
        <v>724</v>
      </c>
      <c r="F30" s="342" t="s">
        <v>944</v>
      </c>
      <c r="G30" s="360" t="s">
        <v>23</v>
      </c>
      <c r="H30" s="361"/>
      <c r="I30" s="361"/>
      <c r="J30" s="361" t="s">
        <v>23</v>
      </c>
      <c r="K30" s="361" t="s">
        <v>23</v>
      </c>
      <c r="L30" s="362"/>
      <c r="M30" s="363"/>
      <c r="N30" s="361"/>
      <c r="O30" s="361" t="s">
        <v>23</v>
      </c>
      <c r="P30" s="361"/>
      <c r="Q30" s="361" t="s">
        <v>23</v>
      </c>
      <c r="R30" s="361"/>
      <c r="S30" s="361"/>
      <c r="T30" s="361"/>
      <c r="U30" s="361" t="s">
        <v>23</v>
      </c>
      <c r="V30" s="361"/>
      <c r="W30" s="361"/>
      <c r="X30" s="361"/>
      <c r="Y30" s="361"/>
      <c r="Z30" s="362"/>
      <c r="AA30" s="379"/>
      <c r="AB30" s="380"/>
      <c r="AC30" s="380"/>
      <c r="AD30" s="380">
        <v>8</v>
      </c>
      <c r="AE30" s="380"/>
      <c r="AF30" s="380"/>
      <c r="AG30" s="380">
        <v>27</v>
      </c>
      <c r="AH30" s="380"/>
      <c r="AI30" s="380"/>
      <c r="AJ30" s="380">
        <v>4</v>
      </c>
      <c r="AK30" s="380">
        <v>36</v>
      </c>
      <c r="AL30" s="379">
        <v>34</v>
      </c>
      <c r="AM30" s="380">
        <v>41</v>
      </c>
      <c r="AN30" s="366">
        <f t="shared" si="0"/>
        <v>75</v>
      </c>
      <c r="AO30" s="98"/>
    </row>
    <row r="31" spans="1:42" s="54" customFormat="1" ht="15" x14ac:dyDescent="0.15">
      <c r="A31" s="20"/>
      <c r="B31" s="340" t="s">
        <v>729</v>
      </c>
      <c r="C31" s="85" t="s">
        <v>567</v>
      </c>
      <c r="D31" s="91">
        <v>3</v>
      </c>
      <c r="E31" s="90" t="s">
        <v>724</v>
      </c>
      <c r="F31" s="342" t="s">
        <v>935</v>
      </c>
      <c r="G31" s="360"/>
      <c r="H31" s="361"/>
      <c r="I31" s="361"/>
      <c r="J31" s="361" t="s">
        <v>23</v>
      </c>
      <c r="K31" s="361" t="s">
        <v>23</v>
      </c>
      <c r="L31" s="362" t="s">
        <v>23</v>
      </c>
      <c r="M31" s="363"/>
      <c r="N31" s="361"/>
      <c r="O31" s="361"/>
      <c r="P31" s="361"/>
      <c r="Q31" s="361"/>
      <c r="R31" s="361"/>
      <c r="S31" s="361" t="s">
        <v>23</v>
      </c>
      <c r="T31" s="361"/>
      <c r="U31" s="361"/>
      <c r="V31" s="361"/>
      <c r="W31" s="361"/>
      <c r="X31" s="361"/>
      <c r="Y31" s="361"/>
      <c r="Z31" s="362"/>
      <c r="AA31" s="379">
        <v>4</v>
      </c>
      <c r="AB31" s="380"/>
      <c r="AC31" s="380"/>
      <c r="AD31" s="380"/>
      <c r="AE31" s="380"/>
      <c r="AF31" s="380"/>
      <c r="AG31" s="380">
        <v>13</v>
      </c>
      <c r="AH31" s="380"/>
      <c r="AI31" s="380">
        <v>34</v>
      </c>
      <c r="AJ31" s="380">
        <v>24</v>
      </c>
      <c r="AK31" s="380"/>
      <c r="AL31" s="379">
        <v>30</v>
      </c>
      <c r="AM31" s="380">
        <v>45</v>
      </c>
      <c r="AN31" s="366">
        <f t="shared" si="0"/>
        <v>75</v>
      </c>
      <c r="AO31" s="98"/>
    </row>
    <row r="32" spans="1:42" s="54" customFormat="1" ht="24" x14ac:dyDescent="0.15">
      <c r="A32" s="20"/>
      <c r="B32" s="340" t="s">
        <v>730</v>
      </c>
      <c r="C32" s="85" t="s">
        <v>568</v>
      </c>
      <c r="D32" s="91">
        <v>5</v>
      </c>
      <c r="E32" s="90" t="s">
        <v>724</v>
      </c>
      <c r="F32" s="342" t="s">
        <v>945</v>
      </c>
      <c r="G32" s="360" t="s">
        <v>23</v>
      </c>
      <c r="H32" s="361"/>
      <c r="I32" s="361" t="s">
        <v>23</v>
      </c>
      <c r="J32" s="361" t="s">
        <v>23</v>
      </c>
      <c r="K32" s="361" t="s">
        <v>23</v>
      </c>
      <c r="L32" s="362"/>
      <c r="M32" s="363"/>
      <c r="N32" s="361"/>
      <c r="O32" s="361"/>
      <c r="P32" s="361" t="s">
        <v>23</v>
      </c>
      <c r="Q32" s="361" t="s">
        <v>23</v>
      </c>
      <c r="R32" s="361"/>
      <c r="S32" s="361"/>
      <c r="T32" s="361"/>
      <c r="U32" s="361" t="s">
        <v>23</v>
      </c>
      <c r="V32" s="361"/>
      <c r="W32" s="361"/>
      <c r="X32" s="361"/>
      <c r="Y32" s="361"/>
      <c r="Z32" s="362"/>
      <c r="AA32" s="379">
        <v>1</v>
      </c>
      <c r="AB32" s="380"/>
      <c r="AC32" s="380"/>
      <c r="AD32" s="380">
        <v>50</v>
      </c>
      <c r="AE32" s="380"/>
      <c r="AF32" s="380"/>
      <c r="AG32" s="380">
        <v>38</v>
      </c>
      <c r="AH32" s="380"/>
      <c r="AI32" s="380"/>
      <c r="AJ32" s="380"/>
      <c r="AK32" s="380">
        <v>36</v>
      </c>
      <c r="AL32" s="379">
        <v>56</v>
      </c>
      <c r="AM32" s="380">
        <v>69</v>
      </c>
      <c r="AN32" s="366">
        <f t="shared" si="0"/>
        <v>125</v>
      </c>
      <c r="AO32" s="98"/>
    </row>
    <row r="33" spans="1:42" s="54" customFormat="1" ht="15" x14ac:dyDescent="0.15">
      <c r="A33" s="20"/>
      <c r="B33" s="340" t="s">
        <v>731</v>
      </c>
      <c r="C33" s="85" t="s">
        <v>569</v>
      </c>
      <c r="D33" s="91">
        <v>6</v>
      </c>
      <c r="E33" s="90" t="s">
        <v>724</v>
      </c>
      <c r="F33" s="342" t="s">
        <v>942</v>
      </c>
      <c r="G33" s="360" t="s">
        <v>23</v>
      </c>
      <c r="H33" s="361"/>
      <c r="I33" s="361"/>
      <c r="J33" s="361"/>
      <c r="K33" s="361" t="s">
        <v>23</v>
      </c>
      <c r="L33" s="362" t="s">
        <v>23</v>
      </c>
      <c r="M33" s="363"/>
      <c r="N33" s="361"/>
      <c r="O33" s="361" t="s">
        <v>23</v>
      </c>
      <c r="P33" s="361"/>
      <c r="Q33" s="361" t="s">
        <v>23</v>
      </c>
      <c r="R33" s="361"/>
      <c r="S33" s="361"/>
      <c r="T33" s="361"/>
      <c r="U33" s="361"/>
      <c r="V33" s="361"/>
      <c r="W33" s="361"/>
      <c r="X33" s="361"/>
      <c r="Y33" s="361"/>
      <c r="Z33" s="362"/>
      <c r="AA33" s="379"/>
      <c r="AB33" s="380"/>
      <c r="AC33" s="380"/>
      <c r="AD33" s="380"/>
      <c r="AE33" s="380"/>
      <c r="AF33" s="380"/>
      <c r="AG33" s="380">
        <v>22</v>
      </c>
      <c r="AH33" s="380"/>
      <c r="AI33" s="380"/>
      <c r="AJ33" s="380">
        <v>12</v>
      </c>
      <c r="AK33" s="380">
        <v>116</v>
      </c>
      <c r="AL33" s="379">
        <v>64</v>
      </c>
      <c r="AM33" s="401">
        <v>86</v>
      </c>
      <c r="AN33" s="366">
        <f t="shared" si="0"/>
        <v>150</v>
      </c>
      <c r="AO33" s="98"/>
    </row>
    <row r="34" spans="1:42" s="54" customFormat="1" ht="15" x14ac:dyDescent="0.15">
      <c r="A34" s="20"/>
      <c r="B34" s="340" t="s">
        <v>733</v>
      </c>
      <c r="C34" s="85" t="s">
        <v>570</v>
      </c>
      <c r="D34" s="91">
        <v>6</v>
      </c>
      <c r="E34" s="90" t="s">
        <v>724</v>
      </c>
      <c r="F34" s="342" t="s">
        <v>946</v>
      </c>
      <c r="G34" s="360"/>
      <c r="H34" s="361" t="s">
        <v>23</v>
      </c>
      <c r="I34" s="361" t="s">
        <v>23</v>
      </c>
      <c r="J34" s="361" t="s">
        <v>23</v>
      </c>
      <c r="K34" s="361"/>
      <c r="L34" s="362"/>
      <c r="M34" s="363"/>
      <c r="N34" s="361"/>
      <c r="O34" s="361" t="s">
        <v>23</v>
      </c>
      <c r="P34" s="361"/>
      <c r="Q34" s="361"/>
      <c r="R34" s="361"/>
      <c r="S34" s="361"/>
      <c r="T34" s="361"/>
      <c r="U34" s="361"/>
      <c r="V34" s="361"/>
      <c r="W34" s="361"/>
      <c r="X34" s="361" t="s">
        <v>23</v>
      </c>
      <c r="Y34" s="361"/>
      <c r="Z34" s="362"/>
      <c r="AA34" s="379">
        <v>2</v>
      </c>
      <c r="AB34" s="380"/>
      <c r="AC34" s="380">
        <v>3</v>
      </c>
      <c r="AD34" s="380">
        <v>150</v>
      </c>
      <c r="AE34" s="380">
        <v>21</v>
      </c>
      <c r="AF34" s="380"/>
      <c r="AG34" s="380"/>
      <c r="AH34" s="380"/>
      <c r="AI34" s="380"/>
      <c r="AJ34" s="380"/>
      <c r="AK34" s="380"/>
      <c r="AL34" s="379">
        <v>156</v>
      </c>
      <c r="AM34" s="380">
        <v>20</v>
      </c>
      <c r="AN34" s="366">
        <f t="shared" si="0"/>
        <v>176</v>
      </c>
      <c r="AO34" s="98"/>
    </row>
    <row r="35" spans="1:42" s="54" customFormat="1" ht="24" x14ac:dyDescent="0.15">
      <c r="A35" s="20"/>
      <c r="B35" s="340" t="s">
        <v>734</v>
      </c>
      <c r="C35" s="85" t="s">
        <v>571</v>
      </c>
      <c r="D35" s="91">
        <v>6</v>
      </c>
      <c r="E35" s="90" t="s">
        <v>724</v>
      </c>
      <c r="F35" s="342" t="s">
        <v>940</v>
      </c>
      <c r="G35" s="360" t="s">
        <v>23</v>
      </c>
      <c r="H35" s="361"/>
      <c r="I35" s="361"/>
      <c r="J35" s="361" t="s">
        <v>23</v>
      </c>
      <c r="K35" s="361"/>
      <c r="L35" s="362" t="s">
        <v>23</v>
      </c>
      <c r="M35" s="363"/>
      <c r="N35" s="361"/>
      <c r="O35" s="361" t="s">
        <v>23</v>
      </c>
      <c r="P35" s="361"/>
      <c r="Q35" s="361" t="s">
        <v>23</v>
      </c>
      <c r="R35" s="361"/>
      <c r="S35" s="361" t="s">
        <v>23</v>
      </c>
      <c r="T35" s="361"/>
      <c r="U35" s="361"/>
      <c r="V35" s="361"/>
      <c r="W35" s="361"/>
      <c r="X35" s="361"/>
      <c r="Y35" s="361"/>
      <c r="Z35" s="362"/>
      <c r="AA35" s="379">
        <v>2</v>
      </c>
      <c r="AB35" s="380"/>
      <c r="AC35" s="380"/>
      <c r="AD35" s="380">
        <v>63</v>
      </c>
      <c r="AE35" s="380"/>
      <c r="AF35" s="380"/>
      <c r="AG35" s="380">
        <v>26</v>
      </c>
      <c r="AH35" s="380"/>
      <c r="AI35" s="380"/>
      <c r="AJ35" s="380">
        <v>8</v>
      </c>
      <c r="AK35" s="380">
        <v>43</v>
      </c>
      <c r="AL35" s="379">
        <v>60</v>
      </c>
      <c r="AM35" s="380">
        <v>90</v>
      </c>
      <c r="AN35" s="366">
        <f t="shared" si="0"/>
        <v>150</v>
      </c>
      <c r="AO35" s="98"/>
      <c r="AP35" s="394"/>
    </row>
    <row r="36" spans="1:42" s="54" customFormat="1" ht="15" x14ac:dyDescent="0.15">
      <c r="A36" s="20"/>
      <c r="B36" s="340" t="s">
        <v>735</v>
      </c>
      <c r="C36" s="85" t="s">
        <v>572</v>
      </c>
      <c r="D36" s="91">
        <v>6</v>
      </c>
      <c r="E36" s="90" t="s">
        <v>724</v>
      </c>
      <c r="F36" s="342" t="s">
        <v>947</v>
      </c>
      <c r="G36" s="360" t="s">
        <v>23</v>
      </c>
      <c r="H36" s="361"/>
      <c r="I36" s="361"/>
      <c r="J36" s="361" t="s">
        <v>23</v>
      </c>
      <c r="K36" s="361" t="s">
        <v>23</v>
      </c>
      <c r="L36" s="362" t="s">
        <v>23</v>
      </c>
      <c r="M36" s="363"/>
      <c r="N36" s="361"/>
      <c r="O36" s="361"/>
      <c r="P36" s="361"/>
      <c r="Q36" s="361" t="s">
        <v>23</v>
      </c>
      <c r="R36" s="361"/>
      <c r="S36" s="361"/>
      <c r="T36" s="361"/>
      <c r="U36" s="361"/>
      <c r="V36" s="361"/>
      <c r="W36" s="361"/>
      <c r="X36" s="361"/>
      <c r="Y36" s="361"/>
      <c r="Z36" s="362"/>
      <c r="AA36" s="379">
        <v>1</v>
      </c>
      <c r="AB36" s="380"/>
      <c r="AC36" s="380"/>
      <c r="AD36" s="380">
        <v>8</v>
      </c>
      <c r="AE36" s="380"/>
      <c r="AF36" s="380"/>
      <c r="AG36" s="380">
        <v>34</v>
      </c>
      <c r="AH36" s="380"/>
      <c r="AI36" s="380"/>
      <c r="AJ36" s="380">
        <v>12</v>
      </c>
      <c r="AK36" s="380">
        <v>95</v>
      </c>
      <c r="AL36" s="379">
        <v>60</v>
      </c>
      <c r="AM36" s="380">
        <v>90</v>
      </c>
      <c r="AN36" s="366">
        <f t="shared" si="0"/>
        <v>150</v>
      </c>
      <c r="AO36" s="98"/>
    </row>
    <row r="37" spans="1:42" s="54" customFormat="1" ht="16" thickBot="1" x14ac:dyDescent="0.2">
      <c r="A37" s="20"/>
      <c r="B37" s="343" t="s">
        <v>736</v>
      </c>
      <c r="C37" s="86" t="s">
        <v>573</v>
      </c>
      <c r="D37" s="94">
        <v>4</v>
      </c>
      <c r="E37" s="93" t="s">
        <v>724</v>
      </c>
      <c r="F37" s="344" t="s">
        <v>941</v>
      </c>
      <c r="G37" s="370" t="s">
        <v>23</v>
      </c>
      <c r="H37" s="371"/>
      <c r="I37" s="371"/>
      <c r="J37" s="371" t="s">
        <v>23</v>
      </c>
      <c r="K37" s="371" t="s">
        <v>23</v>
      </c>
      <c r="L37" s="372" t="s">
        <v>23</v>
      </c>
      <c r="M37" s="373"/>
      <c r="N37" s="371"/>
      <c r="O37" s="371"/>
      <c r="P37" s="371"/>
      <c r="Q37" s="371"/>
      <c r="R37" s="371"/>
      <c r="S37" s="371"/>
      <c r="T37" s="371"/>
      <c r="U37" s="371" t="s">
        <v>23</v>
      </c>
      <c r="V37" s="371"/>
      <c r="W37" s="371"/>
      <c r="X37" s="371"/>
      <c r="Y37" s="371"/>
      <c r="Z37" s="372"/>
      <c r="AA37" s="381">
        <v>2</v>
      </c>
      <c r="AB37" s="106"/>
      <c r="AC37" s="106"/>
      <c r="AD37" s="106">
        <v>55</v>
      </c>
      <c r="AE37" s="106"/>
      <c r="AF37" s="106"/>
      <c r="AG37" s="106">
        <v>19</v>
      </c>
      <c r="AH37" s="106"/>
      <c r="AI37" s="106"/>
      <c r="AJ37" s="106">
        <v>8</v>
      </c>
      <c r="AK37" s="106">
        <v>16</v>
      </c>
      <c r="AL37" s="381">
        <v>40</v>
      </c>
      <c r="AM37" s="106">
        <v>60</v>
      </c>
      <c r="AN37" s="382">
        <f t="shared" si="0"/>
        <v>100</v>
      </c>
      <c r="AO37" s="98"/>
    </row>
    <row r="38" spans="1:42" s="54" customFormat="1" ht="24" x14ac:dyDescent="0.15">
      <c r="A38" s="20"/>
      <c r="B38" s="345">
        <v>37204218</v>
      </c>
      <c r="C38" s="75" t="s">
        <v>587</v>
      </c>
      <c r="D38" s="89">
        <v>3</v>
      </c>
      <c r="E38" s="87" t="s">
        <v>737</v>
      </c>
      <c r="F38" s="341" t="s">
        <v>948</v>
      </c>
      <c r="G38" s="353" t="s">
        <v>23</v>
      </c>
      <c r="H38" s="354" t="s">
        <v>23</v>
      </c>
      <c r="I38" s="354"/>
      <c r="J38" s="354" t="s">
        <v>23</v>
      </c>
      <c r="K38" s="354"/>
      <c r="L38" s="355" t="s">
        <v>23</v>
      </c>
      <c r="M38" s="356"/>
      <c r="N38" s="361"/>
      <c r="O38" s="354"/>
      <c r="P38" s="354"/>
      <c r="Q38" s="354" t="s">
        <v>23</v>
      </c>
      <c r="R38" s="354"/>
      <c r="S38" s="354" t="s">
        <v>23</v>
      </c>
      <c r="T38" s="354"/>
      <c r="U38" s="354"/>
      <c r="V38" s="354"/>
      <c r="W38" s="354"/>
      <c r="X38" s="354"/>
      <c r="Y38" s="354" t="s">
        <v>23</v>
      </c>
      <c r="Z38" s="355" t="s">
        <v>23</v>
      </c>
      <c r="AA38" s="377">
        <v>1</v>
      </c>
      <c r="AB38" s="378"/>
      <c r="AC38" s="378">
        <v>1</v>
      </c>
      <c r="AD38" s="378"/>
      <c r="AE38" s="378">
        <v>32</v>
      </c>
      <c r="AF38" s="378"/>
      <c r="AG38" s="378"/>
      <c r="AH38" s="378"/>
      <c r="AI38" s="378"/>
      <c r="AJ38" s="378">
        <v>29</v>
      </c>
      <c r="AK38" s="378">
        <v>2</v>
      </c>
      <c r="AL38" s="383">
        <v>30</v>
      </c>
      <c r="AM38" s="384">
        <v>35</v>
      </c>
      <c r="AN38" s="385">
        <f t="shared" si="0"/>
        <v>65</v>
      </c>
      <c r="AO38" s="98"/>
    </row>
    <row r="39" spans="1:42" s="54" customFormat="1" ht="15" x14ac:dyDescent="0.15">
      <c r="A39" s="20"/>
      <c r="B39" s="346">
        <v>37204104</v>
      </c>
      <c r="C39" s="347" t="s">
        <v>579</v>
      </c>
      <c r="D39" s="398">
        <v>5</v>
      </c>
      <c r="E39" s="348" t="s">
        <v>737</v>
      </c>
      <c r="F39" s="349" t="s">
        <v>942</v>
      </c>
      <c r="G39" s="386" t="s">
        <v>23</v>
      </c>
      <c r="H39" s="387" t="s">
        <v>23</v>
      </c>
      <c r="I39" s="387"/>
      <c r="J39" s="387" t="s">
        <v>23</v>
      </c>
      <c r="K39" s="387" t="s">
        <v>23</v>
      </c>
      <c r="L39" s="388" t="s">
        <v>23</v>
      </c>
      <c r="M39" s="389" t="s">
        <v>23</v>
      </c>
      <c r="N39" s="387"/>
      <c r="O39" s="387"/>
      <c r="P39" s="387"/>
      <c r="Q39" s="387" t="s">
        <v>23</v>
      </c>
      <c r="R39" s="387"/>
      <c r="S39" s="387" t="s">
        <v>23</v>
      </c>
      <c r="T39" s="387"/>
      <c r="U39" s="387"/>
      <c r="V39" s="387"/>
      <c r="W39" s="387"/>
      <c r="X39" s="387"/>
      <c r="Y39" s="387" t="s">
        <v>23</v>
      </c>
      <c r="Z39" s="388"/>
      <c r="AA39" s="383"/>
      <c r="AB39" s="384"/>
      <c r="AC39" s="384">
        <v>1</v>
      </c>
      <c r="AD39" s="384"/>
      <c r="AE39" s="384"/>
      <c r="AF39" s="384"/>
      <c r="AG39" s="384">
        <v>4</v>
      </c>
      <c r="AH39" s="384">
        <v>18</v>
      </c>
      <c r="AI39" s="384">
        <v>10</v>
      </c>
      <c r="AJ39" s="384"/>
      <c r="AK39" s="384">
        <v>92</v>
      </c>
      <c r="AL39" s="383">
        <v>50</v>
      </c>
      <c r="AM39" s="384">
        <v>75</v>
      </c>
      <c r="AN39" s="366">
        <f t="shared" si="0"/>
        <v>125</v>
      </c>
      <c r="AO39" s="98"/>
    </row>
    <row r="40" spans="1:42" s="54" customFormat="1" ht="15" x14ac:dyDescent="0.15">
      <c r="A40" s="20"/>
      <c r="B40" s="346">
        <v>37204111</v>
      </c>
      <c r="C40" s="347" t="s">
        <v>574</v>
      </c>
      <c r="D40" s="398">
        <v>3</v>
      </c>
      <c r="E40" s="348" t="s">
        <v>737</v>
      </c>
      <c r="F40" s="349" t="s">
        <v>944</v>
      </c>
      <c r="G40" s="386" t="s">
        <v>23</v>
      </c>
      <c r="H40" s="387"/>
      <c r="I40" s="387"/>
      <c r="J40" s="387" t="s">
        <v>23</v>
      </c>
      <c r="K40" s="387"/>
      <c r="L40" s="388" t="s">
        <v>23</v>
      </c>
      <c r="M40" s="389"/>
      <c r="N40" s="387"/>
      <c r="O40" s="387" t="s">
        <v>23</v>
      </c>
      <c r="P40" s="387"/>
      <c r="Q40" s="387" t="s">
        <v>23</v>
      </c>
      <c r="R40" s="387"/>
      <c r="S40" s="387"/>
      <c r="T40" s="387"/>
      <c r="U40" s="387" t="s">
        <v>23</v>
      </c>
      <c r="V40" s="387"/>
      <c r="W40" s="387"/>
      <c r="X40" s="387"/>
      <c r="Y40" s="387"/>
      <c r="Z40" s="388"/>
      <c r="AA40" s="383"/>
      <c r="AB40" s="384"/>
      <c r="AC40" s="384"/>
      <c r="AD40" s="384">
        <v>28</v>
      </c>
      <c r="AE40" s="384"/>
      <c r="AF40" s="384"/>
      <c r="AG40" s="384">
        <v>2</v>
      </c>
      <c r="AH40" s="384">
        <v>2</v>
      </c>
      <c r="AI40" s="384">
        <v>5</v>
      </c>
      <c r="AJ40" s="384">
        <v>4</v>
      </c>
      <c r="AK40" s="384">
        <v>34</v>
      </c>
      <c r="AL40" s="383">
        <v>38</v>
      </c>
      <c r="AM40" s="384">
        <v>37</v>
      </c>
      <c r="AN40" s="366">
        <f t="shared" si="0"/>
        <v>75</v>
      </c>
      <c r="AO40" s="98"/>
    </row>
    <row r="41" spans="1:42" s="54" customFormat="1" ht="15" x14ac:dyDescent="0.15">
      <c r="A41" s="20"/>
      <c r="B41" s="346">
        <v>37204105</v>
      </c>
      <c r="C41" s="347" t="s">
        <v>949</v>
      </c>
      <c r="D41" s="398">
        <v>3</v>
      </c>
      <c r="E41" s="348" t="s">
        <v>737</v>
      </c>
      <c r="F41" s="349" t="s">
        <v>942</v>
      </c>
      <c r="G41" s="360" t="s">
        <v>23</v>
      </c>
      <c r="H41" s="361"/>
      <c r="I41" s="361"/>
      <c r="J41" s="361" t="s">
        <v>23</v>
      </c>
      <c r="K41" s="361" t="s">
        <v>23</v>
      </c>
      <c r="L41" s="362"/>
      <c r="M41" s="363"/>
      <c r="N41" s="361"/>
      <c r="O41" s="361" t="s">
        <v>23</v>
      </c>
      <c r="P41" s="361"/>
      <c r="Q41" s="361" t="s">
        <v>23</v>
      </c>
      <c r="R41" s="361"/>
      <c r="S41" s="361"/>
      <c r="T41" s="361"/>
      <c r="U41" s="361"/>
      <c r="V41" s="361"/>
      <c r="W41" s="361"/>
      <c r="X41" s="361"/>
      <c r="Y41" s="361"/>
      <c r="Z41" s="362"/>
      <c r="AA41" s="379">
        <v>1</v>
      </c>
      <c r="AB41" s="380"/>
      <c r="AC41" s="380"/>
      <c r="AD41" s="380">
        <v>6</v>
      </c>
      <c r="AE41" s="380"/>
      <c r="AF41" s="380"/>
      <c r="AG41" s="380">
        <v>2</v>
      </c>
      <c r="AH41" s="380"/>
      <c r="AI41" s="380">
        <v>17</v>
      </c>
      <c r="AJ41" s="380"/>
      <c r="AK41" s="380">
        <v>52</v>
      </c>
      <c r="AL41" s="400">
        <v>30</v>
      </c>
      <c r="AM41" s="380">
        <v>45</v>
      </c>
      <c r="AN41" s="366">
        <f t="shared" si="0"/>
        <v>75</v>
      </c>
      <c r="AO41" s="98"/>
    </row>
    <row r="42" spans="1:42" s="54" customFormat="1" ht="24" x14ac:dyDescent="0.15">
      <c r="A42" s="20"/>
      <c r="B42" s="340">
        <v>37204109</v>
      </c>
      <c r="C42" s="78" t="s">
        <v>580</v>
      </c>
      <c r="D42" s="91">
        <v>6</v>
      </c>
      <c r="E42" s="90" t="s">
        <v>737</v>
      </c>
      <c r="F42" s="342" t="s">
        <v>944</v>
      </c>
      <c r="G42" s="360" t="s">
        <v>23</v>
      </c>
      <c r="H42" s="361"/>
      <c r="I42" s="361"/>
      <c r="J42" s="361" t="s">
        <v>23</v>
      </c>
      <c r="K42" s="361" t="s">
        <v>23</v>
      </c>
      <c r="L42" s="362" t="s">
        <v>23</v>
      </c>
      <c r="M42" s="363"/>
      <c r="N42" s="361"/>
      <c r="O42" s="361" t="s">
        <v>23</v>
      </c>
      <c r="P42" s="361"/>
      <c r="Q42" s="361" t="s">
        <v>23</v>
      </c>
      <c r="R42" s="361"/>
      <c r="S42" s="361"/>
      <c r="T42" s="361"/>
      <c r="U42" s="361"/>
      <c r="V42" s="361"/>
      <c r="W42" s="361"/>
      <c r="X42" s="361"/>
      <c r="Y42" s="361"/>
      <c r="Z42" s="362"/>
      <c r="AA42" s="379"/>
      <c r="AB42" s="380"/>
      <c r="AC42" s="380"/>
      <c r="AD42" s="380">
        <v>12</v>
      </c>
      <c r="AE42" s="380"/>
      <c r="AF42" s="380"/>
      <c r="AG42" s="380">
        <v>22</v>
      </c>
      <c r="AH42" s="380"/>
      <c r="AI42" s="380"/>
      <c r="AJ42" s="380">
        <v>8</v>
      </c>
      <c r="AK42" s="380">
        <v>108</v>
      </c>
      <c r="AL42" s="379">
        <v>60</v>
      </c>
      <c r="AM42" s="380">
        <v>90</v>
      </c>
      <c r="AN42" s="366">
        <f t="shared" si="0"/>
        <v>150</v>
      </c>
      <c r="AO42" s="98"/>
    </row>
    <row r="43" spans="1:42" s="54" customFormat="1" ht="24" x14ac:dyDescent="0.15">
      <c r="A43" s="20"/>
      <c r="B43" s="340">
        <v>37204224</v>
      </c>
      <c r="C43" s="78" t="s">
        <v>950</v>
      </c>
      <c r="D43" s="91">
        <v>3</v>
      </c>
      <c r="E43" s="90" t="s">
        <v>737</v>
      </c>
      <c r="F43" s="342" t="s">
        <v>951</v>
      </c>
      <c r="G43" s="360" t="s">
        <v>23</v>
      </c>
      <c r="H43" s="361" t="s">
        <v>23</v>
      </c>
      <c r="I43" s="361"/>
      <c r="J43" s="361" t="s">
        <v>23</v>
      </c>
      <c r="K43" s="361" t="s">
        <v>23</v>
      </c>
      <c r="L43" s="362"/>
      <c r="M43" s="363"/>
      <c r="N43" s="361"/>
      <c r="O43" s="361" t="s">
        <v>23</v>
      </c>
      <c r="P43" s="361"/>
      <c r="Q43" s="361" t="s">
        <v>23</v>
      </c>
      <c r="R43" s="361"/>
      <c r="S43" s="361"/>
      <c r="T43" s="361"/>
      <c r="U43" s="361"/>
      <c r="V43" s="361"/>
      <c r="W43" s="361"/>
      <c r="X43" s="361"/>
      <c r="Y43" s="361" t="s">
        <v>23</v>
      </c>
      <c r="Z43" s="362"/>
      <c r="AA43" s="379"/>
      <c r="AB43" s="380"/>
      <c r="AC43" s="380">
        <v>5</v>
      </c>
      <c r="AD43" s="380">
        <v>20</v>
      </c>
      <c r="AE43" s="380"/>
      <c r="AF43" s="380"/>
      <c r="AG43" s="380">
        <v>5</v>
      </c>
      <c r="AH43" s="380">
        <v>20</v>
      </c>
      <c r="AI43" s="380">
        <v>15</v>
      </c>
      <c r="AJ43" s="380"/>
      <c r="AK43" s="380">
        <v>10</v>
      </c>
      <c r="AL43" s="379">
        <v>32.5</v>
      </c>
      <c r="AM43" s="380">
        <v>42.5</v>
      </c>
      <c r="AN43" s="366">
        <f t="shared" si="0"/>
        <v>75</v>
      </c>
      <c r="AO43" s="98"/>
    </row>
    <row r="44" spans="1:42" s="54" customFormat="1" ht="15" x14ac:dyDescent="0.15">
      <c r="A44" s="20"/>
      <c r="B44" s="340">
        <v>37204137</v>
      </c>
      <c r="C44" s="78" t="s">
        <v>576</v>
      </c>
      <c r="D44" s="91">
        <v>4</v>
      </c>
      <c r="E44" s="90" t="s">
        <v>737</v>
      </c>
      <c r="F44" s="342" t="s">
        <v>952</v>
      </c>
      <c r="G44" s="386"/>
      <c r="H44" s="387"/>
      <c r="I44" s="387"/>
      <c r="J44" s="387" t="s">
        <v>23</v>
      </c>
      <c r="K44" s="387" t="s">
        <v>23</v>
      </c>
      <c r="L44" s="388" t="s">
        <v>23</v>
      </c>
      <c r="M44" s="363"/>
      <c r="N44" s="387"/>
      <c r="O44" s="387" t="s">
        <v>23</v>
      </c>
      <c r="P44" s="387"/>
      <c r="Q44" s="387"/>
      <c r="R44" s="387"/>
      <c r="S44" s="387"/>
      <c r="T44" s="387"/>
      <c r="U44" s="387"/>
      <c r="V44" s="387"/>
      <c r="W44" s="387"/>
      <c r="X44" s="387"/>
      <c r="Y44" s="387" t="s">
        <v>23</v>
      </c>
      <c r="Z44" s="388"/>
      <c r="AA44" s="383">
        <v>6</v>
      </c>
      <c r="AB44" s="384"/>
      <c r="AC44" s="384"/>
      <c r="AD44" s="384"/>
      <c r="AE44" s="384"/>
      <c r="AF44" s="384"/>
      <c r="AG44" s="384">
        <v>13</v>
      </c>
      <c r="AH44" s="384"/>
      <c r="AI44" s="384">
        <v>16</v>
      </c>
      <c r="AJ44" s="384">
        <v>40</v>
      </c>
      <c r="AK44" s="384"/>
      <c r="AL44" s="379">
        <v>30</v>
      </c>
      <c r="AM44" s="380">
        <v>45</v>
      </c>
      <c r="AN44" s="366">
        <f t="shared" si="0"/>
        <v>75</v>
      </c>
      <c r="AO44" s="98"/>
    </row>
    <row r="45" spans="1:42" s="54" customFormat="1" ht="15" x14ac:dyDescent="0.15">
      <c r="A45" s="20"/>
      <c r="B45" s="340">
        <v>37204211</v>
      </c>
      <c r="C45" s="78" t="s">
        <v>586</v>
      </c>
      <c r="D45" s="91">
        <v>3</v>
      </c>
      <c r="E45" s="90" t="s">
        <v>737</v>
      </c>
      <c r="F45" s="342" t="s">
        <v>953</v>
      </c>
      <c r="G45" s="360" t="s">
        <v>23</v>
      </c>
      <c r="H45" s="361"/>
      <c r="I45" s="361" t="s">
        <v>23</v>
      </c>
      <c r="J45" s="361"/>
      <c r="K45" s="361" t="s">
        <v>23</v>
      </c>
      <c r="L45" s="362" t="s">
        <v>23</v>
      </c>
      <c r="M45" s="363"/>
      <c r="N45" s="361"/>
      <c r="O45" s="361"/>
      <c r="P45" s="361"/>
      <c r="Q45" s="361" t="s">
        <v>23</v>
      </c>
      <c r="R45" s="361"/>
      <c r="S45" s="361" t="s">
        <v>23</v>
      </c>
      <c r="T45" s="361"/>
      <c r="U45" s="361"/>
      <c r="V45" s="361"/>
      <c r="W45" s="361"/>
      <c r="X45" s="361"/>
      <c r="Y45" s="361"/>
      <c r="Z45" s="362"/>
      <c r="AA45" s="379">
        <v>2</v>
      </c>
      <c r="AB45" s="380"/>
      <c r="AC45" s="380"/>
      <c r="AD45" s="380">
        <v>48</v>
      </c>
      <c r="AE45" s="380"/>
      <c r="AF45" s="380"/>
      <c r="AG45" s="380">
        <v>12</v>
      </c>
      <c r="AH45" s="380"/>
      <c r="AI45" s="380"/>
      <c r="AJ45" s="380">
        <v>9</v>
      </c>
      <c r="AK45" s="380">
        <v>4</v>
      </c>
      <c r="AL45" s="379">
        <v>30</v>
      </c>
      <c r="AM45" s="380">
        <v>45</v>
      </c>
      <c r="AN45" s="366">
        <f t="shared" si="0"/>
        <v>75</v>
      </c>
      <c r="AO45" s="98"/>
    </row>
    <row r="46" spans="1:42" s="54" customFormat="1" ht="24" x14ac:dyDescent="0.15">
      <c r="A46" s="20"/>
      <c r="B46" s="340">
        <v>37204135</v>
      </c>
      <c r="C46" s="78" t="s">
        <v>575</v>
      </c>
      <c r="D46" s="91">
        <v>7</v>
      </c>
      <c r="E46" s="90" t="s">
        <v>737</v>
      </c>
      <c r="F46" s="342" t="s">
        <v>945</v>
      </c>
      <c r="G46" s="360" t="s">
        <v>23</v>
      </c>
      <c r="H46" s="361"/>
      <c r="I46" s="361"/>
      <c r="J46" s="361" t="s">
        <v>23</v>
      </c>
      <c r="K46" s="361" t="s">
        <v>23</v>
      </c>
      <c r="L46" s="362"/>
      <c r="M46" s="363"/>
      <c r="N46" s="361"/>
      <c r="O46" s="361"/>
      <c r="P46" s="361"/>
      <c r="Q46" s="361"/>
      <c r="R46" s="361"/>
      <c r="S46" s="361"/>
      <c r="T46" s="361"/>
      <c r="U46" s="361" t="s">
        <v>23</v>
      </c>
      <c r="V46" s="361"/>
      <c r="W46" s="361"/>
      <c r="X46" s="361"/>
      <c r="Y46" s="361"/>
      <c r="Z46" s="362"/>
      <c r="AA46" s="379">
        <v>3</v>
      </c>
      <c r="AB46" s="380"/>
      <c r="AC46" s="380"/>
      <c r="AD46" s="380">
        <v>100</v>
      </c>
      <c r="AE46" s="380"/>
      <c r="AF46" s="380">
        <v>27</v>
      </c>
      <c r="AG46" s="380"/>
      <c r="AH46" s="380"/>
      <c r="AI46" s="380"/>
      <c r="AJ46" s="380"/>
      <c r="AK46" s="380">
        <v>45</v>
      </c>
      <c r="AL46" s="379">
        <v>70</v>
      </c>
      <c r="AM46" s="380">
        <v>105</v>
      </c>
      <c r="AN46" s="366">
        <f t="shared" si="0"/>
        <v>175</v>
      </c>
      <c r="AO46" s="98"/>
    </row>
    <row r="47" spans="1:42" s="54" customFormat="1" ht="24" x14ac:dyDescent="0.15">
      <c r="A47" s="20"/>
      <c r="B47" s="340">
        <v>37204121</v>
      </c>
      <c r="C47" s="78" t="s">
        <v>577</v>
      </c>
      <c r="D47" s="91">
        <v>6</v>
      </c>
      <c r="E47" s="90" t="s">
        <v>737</v>
      </c>
      <c r="F47" s="342" t="s">
        <v>945</v>
      </c>
      <c r="G47" s="360" t="s">
        <v>23</v>
      </c>
      <c r="H47" s="361"/>
      <c r="I47" s="361"/>
      <c r="J47" s="361" t="s">
        <v>23</v>
      </c>
      <c r="K47" s="361"/>
      <c r="L47" s="362" t="s">
        <v>23</v>
      </c>
      <c r="M47" s="363"/>
      <c r="N47" s="361"/>
      <c r="O47" s="361" t="s">
        <v>23</v>
      </c>
      <c r="P47" s="361"/>
      <c r="Q47" s="361" t="s">
        <v>23</v>
      </c>
      <c r="R47" s="361"/>
      <c r="S47" s="361"/>
      <c r="T47" s="361"/>
      <c r="U47" s="361" t="s">
        <v>23</v>
      </c>
      <c r="V47" s="361"/>
      <c r="W47" s="361"/>
      <c r="X47" s="361"/>
      <c r="Y47" s="361" t="s">
        <v>23</v>
      </c>
      <c r="Z47" s="362"/>
      <c r="AA47" s="379"/>
      <c r="AB47" s="380"/>
      <c r="AC47" s="380"/>
      <c r="AD47" s="380">
        <v>38</v>
      </c>
      <c r="AE47" s="380"/>
      <c r="AF47" s="380">
        <v>66</v>
      </c>
      <c r="AG47" s="380"/>
      <c r="AH47" s="380"/>
      <c r="AI47" s="380"/>
      <c r="AJ47" s="380"/>
      <c r="AK47" s="380">
        <v>36</v>
      </c>
      <c r="AL47" s="379">
        <v>60</v>
      </c>
      <c r="AM47" s="401">
        <v>90</v>
      </c>
      <c r="AN47" s="402">
        <f t="shared" si="0"/>
        <v>150</v>
      </c>
      <c r="AO47" s="98"/>
      <c r="AP47" s="399"/>
    </row>
    <row r="48" spans="1:42" s="54" customFormat="1" ht="15" x14ac:dyDescent="0.15">
      <c r="A48" s="20"/>
      <c r="B48" s="340">
        <v>37204221</v>
      </c>
      <c r="C48" s="78" t="s">
        <v>588</v>
      </c>
      <c r="D48" s="91">
        <v>3</v>
      </c>
      <c r="E48" s="90" t="s">
        <v>737</v>
      </c>
      <c r="F48" s="342" t="s">
        <v>951</v>
      </c>
      <c r="G48" s="360" t="s">
        <v>23</v>
      </c>
      <c r="H48" s="361"/>
      <c r="I48" s="361"/>
      <c r="J48" s="361" t="s">
        <v>23</v>
      </c>
      <c r="K48" s="361" t="s">
        <v>23</v>
      </c>
      <c r="L48" s="362"/>
      <c r="M48" s="363"/>
      <c r="N48" s="361"/>
      <c r="O48" s="361"/>
      <c r="P48" s="361"/>
      <c r="Q48" s="361" t="s">
        <v>23</v>
      </c>
      <c r="R48" s="361"/>
      <c r="S48" s="361"/>
      <c r="T48" s="361"/>
      <c r="U48" s="361"/>
      <c r="V48" s="361"/>
      <c r="W48" s="361"/>
      <c r="X48" s="361"/>
      <c r="Y48" s="361" t="s">
        <v>23</v>
      </c>
      <c r="Z48" s="362"/>
      <c r="AA48" s="379"/>
      <c r="AB48" s="380"/>
      <c r="AC48" s="380">
        <v>10</v>
      </c>
      <c r="AD48" s="380"/>
      <c r="AE48" s="380">
        <v>20</v>
      </c>
      <c r="AF48" s="380"/>
      <c r="AG48" s="380">
        <v>13</v>
      </c>
      <c r="AH48" s="380"/>
      <c r="AI48" s="380"/>
      <c r="AJ48" s="380"/>
      <c r="AK48" s="380">
        <v>32</v>
      </c>
      <c r="AL48" s="379">
        <v>30</v>
      </c>
      <c r="AM48" s="401">
        <v>45</v>
      </c>
      <c r="AN48" s="402">
        <f t="shared" si="0"/>
        <v>75</v>
      </c>
      <c r="AO48" s="98"/>
    </row>
    <row r="49" spans="1:41" s="54" customFormat="1" ht="15" x14ac:dyDescent="0.15">
      <c r="A49" s="20"/>
      <c r="B49" s="340">
        <v>37204107</v>
      </c>
      <c r="C49" s="78" t="s">
        <v>583</v>
      </c>
      <c r="D49" s="91">
        <v>7</v>
      </c>
      <c r="E49" s="90" t="s">
        <v>737</v>
      </c>
      <c r="F49" s="342" t="s">
        <v>942</v>
      </c>
      <c r="G49" s="360" t="s">
        <v>23</v>
      </c>
      <c r="H49" s="361" t="s">
        <v>23</v>
      </c>
      <c r="I49" s="361"/>
      <c r="J49" s="361"/>
      <c r="K49" s="361"/>
      <c r="L49" s="362" t="s">
        <v>23</v>
      </c>
      <c r="M49" s="363"/>
      <c r="N49" s="361"/>
      <c r="O49" s="361"/>
      <c r="P49" s="361"/>
      <c r="Q49" s="361" t="s">
        <v>23</v>
      </c>
      <c r="R49" s="361"/>
      <c r="S49" s="361"/>
      <c r="T49" s="361"/>
      <c r="U49" s="361"/>
      <c r="V49" s="361"/>
      <c r="W49" s="361"/>
      <c r="X49" s="361"/>
      <c r="Y49" s="361"/>
      <c r="Z49" s="362"/>
      <c r="AA49" s="379">
        <v>1</v>
      </c>
      <c r="AB49" s="380"/>
      <c r="AC49" s="380">
        <v>2</v>
      </c>
      <c r="AD49" s="380"/>
      <c r="AE49" s="380"/>
      <c r="AF49" s="380"/>
      <c r="AG49" s="380">
        <v>4</v>
      </c>
      <c r="AH49" s="380"/>
      <c r="AI49" s="380"/>
      <c r="AJ49" s="380">
        <v>16</v>
      </c>
      <c r="AK49" s="380">
        <v>152</v>
      </c>
      <c r="AL49" s="379">
        <v>70</v>
      </c>
      <c r="AM49" s="380">
        <v>105</v>
      </c>
      <c r="AN49" s="366">
        <f t="shared" si="0"/>
        <v>175</v>
      </c>
      <c r="AO49" s="98"/>
    </row>
    <row r="50" spans="1:41" s="54" customFormat="1" ht="15" x14ac:dyDescent="0.15">
      <c r="A50" s="20"/>
      <c r="B50" s="340">
        <v>37204126</v>
      </c>
      <c r="C50" s="78" t="s">
        <v>584</v>
      </c>
      <c r="D50" s="91">
        <v>6</v>
      </c>
      <c r="E50" s="90" t="s">
        <v>737</v>
      </c>
      <c r="F50" s="342" t="s">
        <v>946</v>
      </c>
      <c r="G50" s="360"/>
      <c r="H50" s="361" t="s">
        <v>23</v>
      </c>
      <c r="I50" s="361" t="s">
        <v>23</v>
      </c>
      <c r="J50" s="361" t="s">
        <v>23</v>
      </c>
      <c r="K50" s="361"/>
      <c r="L50" s="362"/>
      <c r="M50" s="363"/>
      <c r="N50" s="361" t="s">
        <v>23</v>
      </c>
      <c r="O50" s="361" t="s">
        <v>23</v>
      </c>
      <c r="P50" s="361"/>
      <c r="Q50" s="361"/>
      <c r="R50" s="361"/>
      <c r="S50" s="361"/>
      <c r="T50" s="361"/>
      <c r="U50" s="361"/>
      <c r="V50" s="361"/>
      <c r="W50" s="361"/>
      <c r="X50" s="361" t="s">
        <v>23</v>
      </c>
      <c r="Y50" s="361"/>
      <c r="Z50" s="362"/>
      <c r="AA50" s="379">
        <v>2</v>
      </c>
      <c r="AB50" s="380"/>
      <c r="AC50" s="380">
        <v>3</v>
      </c>
      <c r="AD50" s="380">
        <v>150</v>
      </c>
      <c r="AE50" s="380"/>
      <c r="AF50" s="380"/>
      <c r="AG50" s="380"/>
      <c r="AH50" s="380"/>
      <c r="AI50" s="380">
        <v>21</v>
      </c>
      <c r="AJ50" s="380"/>
      <c r="AK50" s="380"/>
      <c r="AL50" s="379">
        <v>156</v>
      </c>
      <c r="AM50" s="380">
        <v>20</v>
      </c>
      <c r="AN50" s="366">
        <f t="shared" si="0"/>
        <v>176</v>
      </c>
      <c r="AO50" s="98"/>
    </row>
    <row r="51" spans="1:41" s="54" customFormat="1" ht="15" x14ac:dyDescent="0.15">
      <c r="A51" s="20"/>
      <c r="B51" s="340">
        <v>37204106</v>
      </c>
      <c r="C51" s="78" t="s">
        <v>578</v>
      </c>
      <c r="D51" s="91">
        <v>3</v>
      </c>
      <c r="E51" s="90" t="s">
        <v>737</v>
      </c>
      <c r="F51" s="342" t="s">
        <v>942</v>
      </c>
      <c r="G51" s="360" t="s">
        <v>23</v>
      </c>
      <c r="H51" s="361"/>
      <c r="I51" s="361"/>
      <c r="J51" s="361"/>
      <c r="K51" s="361" t="s">
        <v>23</v>
      </c>
      <c r="L51" s="362"/>
      <c r="M51" s="363"/>
      <c r="N51" s="361"/>
      <c r="O51" s="361"/>
      <c r="P51" s="361"/>
      <c r="Q51" s="361" t="s">
        <v>23</v>
      </c>
      <c r="R51" s="361"/>
      <c r="S51" s="361"/>
      <c r="T51" s="361"/>
      <c r="U51" s="361"/>
      <c r="V51" s="361"/>
      <c r="W51" s="361"/>
      <c r="X51" s="361"/>
      <c r="Y51" s="361"/>
      <c r="Z51" s="362"/>
      <c r="AA51" s="379"/>
      <c r="AB51" s="380"/>
      <c r="AC51" s="380"/>
      <c r="AD51" s="380"/>
      <c r="AE51" s="380"/>
      <c r="AF51" s="380"/>
      <c r="AG51" s="380">
        <v>9</v>
      </c>
      <c r="AH51" s="380"/>
      <c r="AI51" s="380"/>
      <c r="AJ51" s="380">
        <v>12</v>
      </c>
      <c r="AK51" s="380">
        <v>54</v>
      </c>
      <c r="AL51" s="379">
        <v>30</v>
      </c>
      <c r="AM51" s="380">
        <v>45</v>
      </c>
      <c r="AN51" s="366">
        <f t="shared" si="0"/>
        <v>75</v>
      </c>
      <c r="AO51" s="98"/>
    </row>
    <row r="52" spans="1:41" s="54" customFormat="1" ht="24" x14ac:dyDescent="0.15">
      <c r="A52" s="20"/>
      <c r="B52" s="340">
        <v>37204110</v>
      </c>
      <c r="C52" s="78" t="s">
        <v>585</v>
      </c>
      <c r="D52" s="91">
        <v>4</v>
      </c>
      <c r="E52" s="90" t="s">
        <v>737</v>
      </c>
      <c r="F52" s="342" t="s">
        <v>944</v>
      </c>
      <c r="G52" s="360" t="s">
        <v>23</v>
      </c>
      <c r="H52" s="361"/>
      <c r="I52" s="361"/>
      <c r="J52" s="361"/>
      <c r="K52" s="361" t="s">
        <v>23</v>
      </c>
      <c r="L52" s="362" t="s">
        <v>23</v>
      </c>
      <c r="M52" s="363"/>
      <c r="N52" s="361"/>
      <c r="O52" s="361"/>
      <c r="P52" s="361"/>
      <c r="Q52" s="361" t="s">
        <v>23</v>
      </c>
      <c r="R52" s="361"/>
      <c r="S52" s="361"/>
      <c r="T52" s="361"/>
      <c r="U52" s="361"/>
      <c r="V52" s="361"/>
      <c r="W52" s="361"/>
      <c r="X52" s="361"/>
      <c r="Y52" s="361"/>
      <c r="Z52" s="362"/>
      <c r="AA52" s="379"/>
      <c r="AB52" s="380"/>
      <c r="AC52" s="380"/>
      <c r="AD52" s="380"/>
      <c r="AE52" s="380"/>
      <c r="AF52" s="380"/>
      <c r="AG52" s="380">
        <v>10</v>
      </c>
      <c r="AH52" s="380"/>
      <c r="AI52" s="380"/>
      <c r="AJ52" s="380">
        <v>12</v>
      </c>
      <c r="AK52" s="380">
        <v>78</v>
      </c>
      <c r="AL52" s="379">
        <v>40</v>
      </c>
      <c r="AM52" s="380">
        <v>60</v>
      </c>
      <c r="AN52" s="366">
        <f t="shared" si="0"/>
        <v>100</v>
      </c>
      <c r="AO52" s="98"/>
    </row>
    <row r="53" spans="1:41" s="54" customFormat="1" ht="25" thickBot="1" x14ac:dyDescent="0.2">
      <c r="A53" s="20"/>
      <c r="B53" s="340">
        <v>37204136</v>
      </c>
      <c r="C53" s="78" t="s">
        <v>1194</v>
      </c>
      <c r="D53" s="91">
        <v>3</v>
      </c>
      <c r="E53" s="90" t="s">
        <v>737</v>
      </c>
      <c r="F53" s="342" t="s">
        <v>943</v>
      </c>
      <c r="G53" s="360" t="s">
        <v>23</v>
      </c>
      <c r="H53" s="361"/>
      <c r="I53" s="361"/>
      <c r="J53" s="361" t="s">
        <v>23</v>
      </c>
      <c r="K53" s="361" t="s">
        <v>23</v>
      </c>
      <c r="L53" s="362"/>
      <c r="M53" s="363"/>
      <c r="N53" s="361"/>
      <c r="O53" s="361"/>
      <c r="P53" s="361" t="s">
        <v>23</v>
      </c>
      <c r="Q53" s="361" t="s">
        <v>23</v>
      </c>
      <c r="R53" s="361"/>
      <c r="S53" s="361"/>
      <c r="T53" s="361"/>
      <c r="U53" s="361"/>
      <c r="V53" s="361"/>
      <c r="W53" s="361"/>
      <c r="X53" s="361"/>
      <c r="Y53" s="361"/>
      <c r="Z53" s="362"/>
      <c r="AA53" s="379">
        <v>1</v>
      </c>
      <c r="AB53" s="380"/>
      <c r="AC53" s="380"/>
      <c r="AD53" s="380">
        <v>11</v>
      </c>
      <c r="AE53" s="380"/>
      <c r="AF53" s="380"/>
      <c r="AG53" s="380">
        <v>12</v>
      </c>
      <c r="AH53" s="380"/>
      <c r="AI53" s="380"/>
      <c r="AJ53" s="380">
        <v>11</v>
      </c>
      <c r="AK53" s="380">
        <v>20</v>
      </c>
      <c r="AL53" s="379">
        <v>30</v>
      </c>
      <c r="AM53" s="380">
        <v>45</v>
      </c>
      <c r="AN53" s="366">
        <v>75</v>
      </c>
      <c r="AO53" s="98"/>
    </row>
    <row r="54" spans="1:41" s="54" customFormat="1" ht="15" x14ac:dyDescent="0.15">
      <c r="A54" s="20"/>
      <c r="B54" s="345" t="s">
        <v>749</v>
      </c>
      <c r="C54" s="75" t="s">
        <v>601</v>
      </c>
      <c r="D54" s="89">
        <v>3</v>
      </c>
      <c r="E54" s="87" t="s">
        <v>739</v>
      </c>
      <c r="F54" s="341" t="s">
        <v>953</v>
      </c>
      <c r="G54" s="353" t="s">
        <v>23</v>
      </c>
      <c r="H54" s="354" t="s">
        <v>23</v>
      </c>
      <c r="I54" s="354"/>
      <c r="J54" s="354" t="s">
        <v>23</v>
      </c>
      <c r="K54" s="354" t="s">
        <v>23</v>
      </c>
      <c r="L54" s="355" t="s">
        <v>23</v>
      </c>
      <c r="M54" s="356"/>
      <c r="N54" s="354"/>
      <c r="O54" s="354"/>
      <c r="P54" s="354"/>
      <c r="Q54" s="354" t="s">
        <v>23</v>
      </c>
      <c r="R54" s="354"/>
      <c r="S54" s="354"/>
      <c r="T54" s="354"/>
      <c r="U54" s="354" t="s">
        <v>23</v>
      </c>
      <c r="V54" s="354"/>
      <c r="W54" s="354"/>
      <c r="X54" s="354"/>
      <c r="Y54" s="354"/>
      <c r="Z54" s="355"/>
      <c r="AA54" s="377">
        <v>1</v>
      </c>
      <c r="AB54" s="378"/>
      <c r="AC54" s="378">
        <v>2</v>
      </c>
      <c r="AD54" s="378"/>
      <c r="AE54" s="378"/>
      <c r="AF54" s="378"/>
      <c r="AG54" s="378">
        <v>2</v>
      </c>
      <c r="AH54" s="378"/>
      <c r="AI54" s="378">
        <v>11</v>
      </c>
      <c r="AJ54" s="378">
        <v>20</v>
      </c>
      <c r="AK54" s="378">
        <v>39</v>
      </c>
      <c r="AL54" s="377">
        <v>34</v>
      </c>
      <c r="AM54" s="378">
        <v>41</v>
      </c>
      <c r="AN54" s="385">
        <f t="shared" si="0"/>
        <v>75</v>
      </c>
      <c r="AO54" s="98"/>
    </row>
    <row r="55" spans="1:41" s="54" customFormat="1" ht="15" x14ac:dyDescent="0.15">
      <c r="A55" s="20"/>
      <c r="B55" s="346" t="s">
        <v>751</v>
      </c>
      <c r="C55" s="347" t="s">
        <v>954</v>
      </c>
      <c r="D55" s="398">
        <v>3</v>
      </c>
      <c r="E55" s="348" t="s">
        <v>739</v>
      </c>
      <c r="F55" s="349" t="s">
        <v>951</v>
      </c>
      <c r="G55" s="386" t="s">
        <v>23</v>
      </c>
      <c r="H55" s="387"/>
      <c r="I55" s="387"/>
      <c r="J55" s="387" t="s">
        <v>23</v>
      </c>
      <c r="K55" s="387" t="s">
        <v>23</v>
      </c>
      <c r="L55" s="388" t="s">
        <v>23</v>
      </c>
      <c r="M55" s="389"/>
      <c r="N55" s="387"/>
      <c r="O55" s="387"/>
      <c r="P55" s="387"/>
      <c r="Q55" s="387" t="s">
        <v>23</v>
      </c>
      <c r="R55" s="387"/>
      <c r="S55" s="387"/>
      <c r="T55" s="387"/>
      <c r="U55" s="387"/>
      <c r="V55" s="387"/>
      <c r="W55" s="387"/>
      <c r="X55" s="387"/>
      <c r="Y55" s="387" t="s">
        <v>23</v>
      </c>
      <c r="Z55" s="388"/>
      <c r="AA55" s="383"/>
      <c r="AB55" s="384"/>
      <c r="AC55" s="384">
        <v>5</v>
      </c>
      <c r="AD55" s="384">
        <v>20</v>
      </c>
      <c r="AE55" s="384">
        <v>20</v>
      </c>
      <c r="AF55" s="384"/>
      <c r="AG55" s="384">
        <v>5</v>
      </c>
      <c r="AH55" s="384"/>
      <c r="AI55" s="384">
        <v>15</v>
      </c>
      <c r="AJ55" s="384"/>
      <c r="AK55" s="384">
        <v>10</v>
      </c>
      <c r="AL55" s="383">
        <v>32.5</v>
      </c>
      <c r="AM55" s="384">
        <v>42.5</v>
      </c>
      <c r="AN55" s="366">
        <f t="shared" si="0"/>
        <v>75</v>
      </c>
      <c r="AO55" s="98"/>
    </row>
    <row r="56" spans="1:41" s="54" customFormat="1" ht="15" x14ac:dyDescent="0.15">
      <c r="A56" s="20"/>
      <c r="B56" s="346" t="s">
        <v>746</v>
      </c>
      <c r="C56" s="347" t="s">
        <v>592</v>
      </c>
      <c r="D56" s="398">
        <v>6</v>
      </c>
      <c r="E56" s="348" t="s">
        <v>739</v>
      </c>
      <c r="F56" s="349" t="s">
        <v>946</v>
      </c>
      <c r="G56" s="386"/>
      <c r="H56" s="387" t="s">
        <v>23</v>
      </c>
      <c r="I56" s="387" t="s">
        <v>23</v>
      </c>
      <c r="J56" s="387" t="s">
        <v>23</v>
      </c>
      <c r="K56" s="387"/>
      <c r="L56" s="388"/>
      <c r="M56" s="389"/>
      <c r="N56" s="387" t="s">
        <v>23</v>
      </c>
      <c r="O56" s="387" t="s">
        <v>23</v>
      </c>
      <c r="P56" s="387"/>
      <c r="Q56" s="387"/>
      <c r="R56" s="387"/>
      <c r="S56" s="387"/>
      <c r="T56" s="387"/>
      <c r="U56" s="387"/>
      <c r="V56" s="387"/>
      <c r="W56" s="387"/>
      <c r="X56" s="387" t="s">
        <v>23</v>
      </c>
      <c r="Y56" s="387"/>
      <c r="Z56" s="388"/>
      <c r="AA56" s="383">
        <v>4</v>
      </c>
      <c r="AB56" s="384"/>
      <c r="AC56" s="384">
        <v>2</v>
      </c>
      <c r="AD56" s="384">
        <v>120</v>
      </c>
      <c r="AE56" s="384"/>
      <c r="AF56" s="384"/>
      <c r="AG56" s="384"/>
      <c r="AH56" s="384"/>
      <c r="AI56" s="384">
        <v>50</v>
      </c>
      <c r="AJ56" s="384"/>
      <c r="AK56" s="384"/>
      <c r="AL56" s="383">
        <v>126</v>
      </c>
      <c r="AM56" s="384">
        <v>50</v>
      </c>
      <c r="AN56" s="366">
        <f t="shared" si="0"/>
        <v>176</v>
      </c>
      <c r="AO56" s="98"/>
    </row>
    <row r="57" spans="1:41" s="54" customFormat="1" ht="15" x14ac:dyDescent="0.15">
      <c r="A57" s="20"/>
      <c r="B57" s="340" t="s">
        <v>747</v>
      </c>
      <c r="C57" s="78" t="s">
        <v>593</v>
      </c>
      <c r="D57" s="91">
        <v>6</v>
      </c>
      <c r="E57" s="90" t="s">
        <v>739</v>
      </c>
      <c r="F57" s="342" t="s">
        <v>946</v>
      </c>
      <c r="G57" s="360"/>
      <c r="H57" s="361" t="s">
        <v>23</v>
      </c>
      <c r="I57" s="361" t="s">
        <v>23</v>
      </c>
      <c r="J57" s="361" t="s">
        <v>23</v>
      </c>
      <c r="K57" s="361"/>
      <c r="L57" s="362"/>
      <c r="M57" s="363"/>
      <c r="N57" s="361" t="s">
        <v>23</v>
      </c>
      <c r="O57" s="361" t="s">
        <v>23</v>
      </c>
      <c r="P57" s="361"/>
      <c r="Q57" s="361"/>
      <c r="R57" s="361"/>
      <c r="S57" s="361"/>
      <c r="T57" s="361"/>
      <c r="U57" s="361"/>
      <c r="V57" s="361"/>
      <c r="W57" s="361"/>
      <c r="X57" s="361" t="s">
        <v>23</v>
      </c>
      <c r="Y57" s="361"/>
      <c r="Z57" s="362"/>
      <c r="AA57" s="379">
        <v>4</v>
      </c>
      <c r="AB57" s="380"/>
      <c r="AC57" s="380">
        <v>2</v>
      </c>
      <c r="AD57" s="380">
        <v>120</v>
      </c>
      <c r="AE57" s="380"/>
      <c r="AF57" s="380"/>
      <c r="AG57" s="380"/>
      <c r="AH57" s="380"/>
      <c r="AI57" s="380">
        <v>50</v>
      </c>
      <c r="AJ57" s="380"/>
      <c r="AK57" s="380"/>
      <c r="AL57" s="379">
        <v>126</v>
      </c>
      <c r="AM57" s="380">
        <v>50</v>
      </c>
      <c r="AN57" s="366">
        <f t="shared" si="0"/>
        <v>176</v>
      </c>
      <c r="AO57" s="98"/>
    </row>
    <row r="58" spans="1:41" s="54" customFormat="1" ht="15" x14ac:dyDescent="0.15">
      <c r="A58" s="20"/>
      <c r="B58" s="346" t="s">
        <v>744</v>
      </c>
      <c r="C58" s="347" t="s">
        <v>590</v>
      </c>
      <c r="D58" s="398">
        <v>6</v>
      </c>
      <c r="E58" s="348" t="s">
        <v>739</v>
      </c>
      <c r="F58" s="349" t="s">
        <v>946</v>
      </c>
      <c r="G58" s="386"/>
      <c r="H58" s="387" t="s">
        <v>23</v>
      </c>
      <c r="I58" s="387" t="s">
        <v>23</v>
      </c>
      <c r="J58" s="387" t="s">
        <v>23</v>
      </c>
      <c r="K58" s="387"/>
      <c r="L58" s="388"/>
      <c r="M58" s="389"/>
      <c r="N58" s="387" t="s">
        <v>23</v>
      </c>
      <c r="O58" s="387" t="s">
        <v>23</v>
      </c>
      <c r="P58" s="387"/>
      <c r="Q58" s="387"/>
      <c r="R58" s="387"/>
      <c r="S58" s="387"/>
      <c r="T58" s="387"/>
      <c r="U58" s="387"/>
      <c r="V58" s="387"/>
      <c r="W58" s="387"/>
      <c r="X58" s="387" t="s">
        <v>23</v>
      </c>
      <c r="Y58" s="387"/>
      <c r="Z58" s="388"/>
      <c r="AA58" s="383">
        <v>4</v>
      </c>
      <c r="AB58" s="384"/>
      <c r="AC58" s="384">
        <v>2</v>
      </c>
      <c r="AD58" s="384">
        <v>120</v>
      </c>
      <c r="AE58" s="384"/>
      <c r="AF58" s="384"/>
      <c r="AG58" s="384"/>
      <c r="AH58" s="384"/>
      <c r="AI58" s="384">
        <v>50</v>
      </c>
      <c r="AJ58" s="384"/>
      <c r="AK58" s="384"/>
      <c r="AL58" s="383">
        <v>126</v>
      </c>
      <c r="AM58" s="384">
        <v>50</v>
      </c>
      <c r="AN58" s="366">
        <f t="shared" si="0"/>
        <v>176</v>
      </c>
      <c r="AO58" s="98"/>
    </row>
    <row r="59" spans="1:41" s="54" customFormat="1" ht="15" x14ac:dyDescent="0.15">
      <c r="A59" s="20"/>
      <c r="B59" s="346" t="s">
        <v>745</v>
      </c>
      <c r="C59" s="347" t="s">
        <v>591</v>
      </c>
      <c r="D59" s="398">
        <v>6</v>
      </c>
      <c r="E59" s="348" t="s">
        <v>739</v>
      </c>
      <c r="F59" s="349" t="s">
        <v>946</v>
      </c>
      <c r="G59" s="386"/>
      <c r="H59" s="387" t="s">
        <v>23</v>
      </c>
      <c r="I59" s="387" t="s">
        <v>23</v>
      </c>
      <c r="J59" s="387" t="s">
        <v>23</v>
      </c>
      <c r="K59" s="387"/>
      <c r="L59" s="388"/>
      <c r="M59" s="389"/>
      <c r="N59" s="387" t="s">
        <v>23</v>
      </c>
      <c r="O59" s="387" t="s">
        <v>23</v>
      </c>
      <c r="P59" s="387"/>
      <c r="Q59" s="387"/>
      <c r="R59" s="387"/>
      <c r="S59" s="387"/>
      <c r="T59" s="387"/>
      <c r="U59" s="387"/>
      <c r="V59" s="387"/>
      <c r="W59" s="387"/>
      <c r="X59" s="387" t="s">
        <v>23</v>
      </c>
      <c r="Y59" s="387"/>
      <c r="Z59" s="388"/>
      <c r="AA59" s="383">
        <v>4</v>
      </c>
      <c r="AB59" s="384"/>
      <c r="AC59" s="384">
        <v>2</v>
      </c>
      <c r="AD59" s="384">
        <v>120</v>
      </c>
      <c r="AE59" s="384"/>
      <c r="AF59" s="384"/>
      <c r="AG59" s="384"/>
      <c r="AH59" s="384"/>
      <c r="AI59" s="384">
        <v>50</v>
      </c>
      <c r="AJ59" s="384"/>
      <c r="AK59" s="384"/>
      <c r="AL59" s="383">
        <v>126</v>
      </c>
      <c r="AM59" s="384">
        <v>50</v>
      </c>
      <c r="AN59" s="366">
        <f t="shared" si="0"/>
        <v>176</v>
      </c>
      <c r="AO59" s="98"/>
    </row>
    <row r="60" spans="1:41" s="54" customFormat="1" ht="15" x14ac:dyDescent="0.15">
      <c r="A60" s="20"/>
      <c r="B60" s="346" t="s">
        <v>742</v>
      </c>
      <c r="C60" s="347" t="s">
        <v>599</v>
      </c>
      <c r="D60" s="398">
        <v>3</v>
      </c>
      <c r="E60" s="348" t="s">
        <v>739</v>
      </c>
      <c r="F60" s="349" t="s">
        <v>952</v>
      </c>
      <c r="G60" s="386"/>
      <c r="H60" s="387"/>
      <c r="I60" s="387"/>
      <c r="J60" s="387" t="s">
        <v>23</v>
      </c>
      <c r="K60" s="387" t="s">
        <v>23</v>
      </c>
      <c r="L60" s="388" t="s">
        <v>23</v>
      </c>
      <c r="M60" s="389" t="s">
        <v>23</v>
      </c>
      <c r="N60" s="387"/>
      <c r="O60" s="387" t="s">
        <v>23</v>
      </c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8"/>
      <c r="AA60" s="383">
        <v>4</v>
      </c>
      <c r="AB60" s="384"/>
      <c r="AC60" s="384"/>
      <c r="AD60" s="384"/>
      <c r="AE60" s="384"/>
      <c r="AF60" s="384"/>
      <c r="AG60" s="384">
        <v>13</v>
      </c>
      <c r="AH60" s="384"/>
      <c r="AI60" s="384">
        <v>34</v>
      </c>
      <c r="AJ60" s="384">
        <v>24</v>
      </c>
      <c r="AK60" s="384"/>
      <c r="AL60" s="383">
        <v>30</v>
      </c>
      <c r="AM60" s="384">
        <v>45</v>
      </c>
      <c r="AN60" s="366">
        <f t="shared" si="0"/>
        <v>75</v>
      </c>
      <c r="AO60" s="98"/>
    </row>
    <row r="61" spans="1:41" s="54" customFormat="1" ht="15" x14ac:dyDescent="0.15">
      <c r="A61" s="20"/>
      <c r="B61" s="346" t="s">
        <v>750</v>
      </c>
      <c r="C61" s="347" t="s">
        <v>602</v>
      </c>
      <c r="D61" s="398">
        <v>3</v>
      </c>
      <c r="E61" s="348" t="s">
        <v>739</v>
      </c>
      <c r="F61" s="349" t="s">
        <v>951</v>
      </c>
      <c r="G61" s="386" t="s">
        <v>23</v>
      </c>
      <c r="H61" s="387" t="s">
        <v>23</v>
      </c>
      <c r="I61" s="387"/>
      <c r="J61" s="387" t="s">
        <v>23</v>
      </c>
      <c r="K61" s="387" t="s">
        <v>23</v>
      </c>
      <c r="L61" s="388"/>
      <c r="M61" s="389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 t="s">
        <v>23</v>
      </c>
      <c r="Z61" s="388"/>
      <c r="AA61" s="383"/>
      <c r="AB61" s="384"/>
      <c r="AC61" s="384">
        <v>2</v>
      </c>
      <c r="AD61" s="384">
        <v>25</v>
      </c>
      <c r="AE61" s="384">
        <v>6</v>
      </c>
      <c r="AF61" s="384"/>
      <c r="AG61" s="384"/>
      <c r="AH61" s="384"/>
      <c r="AI61" s="384">
        <v>29</v>
      </c>
      <c r="AJ61" s="384"/>
      <c r="AK61" s="384">
        <v>13</v>
      </c>
      <c r="AL61" s="383">
        <v>28</v>
      </c>
      <c r="AM61" s="384">
        <v>47</v>
      </c>
      <c r="AN61" s="366">
        <f t="shared" si="0"/>
        <v>75</v>
      </c>
      <c r="AO61" s="98"/>
    </row>
    <row r="62" spans="1:41" s="54" customFormat="1" ht="15" x14ac:dyDescent="0.15">
      <c r="A62" s="20"/>
      <c r="B62" s="346">
        <v>37204226</v>
      </c>
      <c r="C62" s="347" t="s">
        <v>926</v>
      </c>
      <c r="D62" s="398">
        <v>3</v>
      </c>
      <c r="E62" s="348" t="s">
        <v>739</v>
      </c>
      <c r="F62" s="349" t="s">
        <v>951</v>
      </c>
      <c r="G62" s="386" t="s">
        <v>23</v>
      </c>
      <c r="H62" s="387"/>
      <c r="I62" s="387"/>
      <c r="J62" s="387" t="s">
        <v>23</v>
      </c>
      <c r="K62" s="387" t="s">
        <v>23</v>
      </c>
      <c r="L62" s="388" t="s">
        <v>23</v>
      </c>
      <c r="M62" s="389"/>
      <c r="N62" s="387"/>
      <c r="O62" s="387"/>
      <c r="P62" s="387"/>
      <c r="Q62" s="387" t="s">
        <v>23</v>
      </c>
      <c r="R62" s="387"/>
      <c r="S62" s="387"/>
      <c r="T62" s="387"/>
      <c r="U62" s="387"/>
      <c r="V62" s="387"/>
      <c r="W62" s="387"/>
      <c r="X62" s="387"/>
      <c r="Y62" s="387"/>
      <c r="Z62" s="388"/>
      <c r="AA62" s="383">
        <v>2</v>
      </c>
      <c r="AB62" s="384"/>
      <c r="AC62" s="384"/>
      <c r="AD62" s="384">
        <v>48</v>
      </c>
      <c r="AE62" s="384"/>
      <c r="AF62" s="384"/>
      <c r="AG62" s="384">
        <v>12</v>
      </c>
      <c r="AH62" s="384"/>
      <c r="AI62" s="384"/>
      <c r="AJ62" s="384">
        <v>9</v>
      </c>
      <c r="AK62" s="384">
        <v>4</v>
      </c>
      <c r="AL62" s="383">
        <v>30</v>
      </c>
      <c r="AM62" s="384">
        <v>45</v>
      </c>
      <c r="AN62" s="366">
        <f t="shared" si="0"/>
        <v>75</v>
      </c>
      <c r="AO62" s="98"/>
    </row>
    <row r="63" spans="1:41" s="54" customFormat="1" ht="24" x14ac:dyDescent="0.15">
      <c r="A63" s="20"/>
      <c r="B63" s="340">
        <v>37204223</v>
      </c>
      <c r="C63" s="78" t="s">
        <v>600</v>
      </c>
      <c r="D63" s="91">
        <v>3</v>
      </c>
      <c r="E63" s="90" t="s">
        <v>739</v>
      </c>
      <c r="F63" s="342" t="s">
        <v>951</v>
      </c>
      <c r="G63" s="360" t="s">
        <v>23</v>
      </c>
      <c r="H63" s="361"/>
      <c r="I63" s="361"/>
      <c r="J63" s="361" t="s">
        <v>23</v>
      </c>
      <c r="K63" s="361" t="s">
        <v>23</v>
      </c>
      <c r="L63" s="362" t="s">
        <v>23</v>
      </c>
      <c r="M63" s="363"/>
      <c r="N63" s="361"/>
      <c r="O63" s="361"/>
      <c r="P63" s="361"/>
      <c r="Q63" s="361"/>
      <c r="R63" s="361"/>
      <c r="S63" s="361"/>
      <c r="T63" s="361"/>
      <c r="U63" s="361" t="s">
        <v>23</v>
      </c>
      <c r="V63" s="361"/>
      <c r="W63" s="361"/>
      <c r="X63" s="361"/>
      <c r="Y63" s="361"/>
      <c r="Z63" s="362"/>
      <c r="AA63" s="379">
        <v>2</v>
      </c>
      <c r="AB63" s="380"/>
      <c r="AC63" s="380"/>
      <c r="AD63" s="380">
        <v>48</v>
      </c>
      <c r="AE63" s="380"/>
      <c r="AF63" s="380"/>
      <c r="AG63" s="380">
        <v>12</v>
      </c>
      <c r="AH63" s="380"/>
      <c r="AI63" s="380"/>
      <c r="AJ63" s="380">
        <v>9</v>
      </c>
      <c r="AK63" s="380">
        <v>4</v>
      </c>
      <c r="AL63" s="379">
        <v>30</v>
      </c>
      <c r="AM63" s="380">
        <v>45</v>
      </c>
      <c r="AN63" s="366">
        <f t="shared" si="0"/>
        <v>75</v>
      </c>
      <c r="AO63" s="98"/>
    </row>
    <row r="64" spans="1:41" s="54" customFormat="1" ht="15" x14ac:dyDescent="0.15">
      <c r="A64" s="20"/>
      <c r="B64" s="346" t="s">
        <v>738</v>
      </c>
      <c r="C64" s="347" t="s">
        <v>596</v>
      </c>
      <c r="D64" s="398">
        <v>3</v>
      </c>
      <c r="E64" s="348" t="s">
        <v>739</v>
      </c>
      <c r="F64" s="349" t="s">
        <v>955</v>
      </c>
      <c r="G64" s="386" t="s">
        <v>23</v>
      </c>
      <c r="H64" s="387"/>
      <c r="I64" s="387"/>
      <c r="J64" s="387" t="s">
        <v>23</v>
      </c>
      <c r="K64" s="387"/>
      <c r="L64" s="388" t="s">
        <v>23</v>
      </c>
      <c r="M64" s="389"/>
      <c r="N64" s="387"/>
      <c r="O64" s="387"/>
      <c r="P64" s="387"/>
      <c r="Q64" s="387" t="s">
        <v>23</v>
      </c>
      <c r="R64" s="387"/>
      <c r="S64" s="387"/>
      <c r="T64" s="387"/>
      <c r="U64" s="387"/>
      <c r="V64" s="387"/>
      <c r="W64" s="387"/>
      <c r="X64" s="387"/>
      <c r="Y64" s="387" t="s">
        <v>23</v>
      </c>
      <c r="Z64" s="388" t="s">
        <v>23</v>
      </c>
      <c r="AA64" s="383">
        <v>1</v>
      </c>
      <c r="AB64" s="384"/>
      <c r="AC64" s="384">
        <v>1</v>
      </c>
      <c r="AD64" s="384"/>
      <c r="AE64" s="384"/>
      <c r="AF64" s="384"/>
      <c r="AG64" s="384">
        <v>8</v>
      </c>
      <c r="AH64" s="384"/>
      <c r="AI64" s="384">
        <v>12</v>
      </c>
      <c r="AJ64" s="384">
        <v>12</v>
      </c>
      <c r="AK64" s="384">
        <v>41</v>
      </c>
      <c r="AL64" s="383">
        <v>30</v>
      </c>
      <c r="AM64" s="384">
        <v>45</v>
      </c>
      <c r="AN64" s="366">
        <f t="shared" si="0"/>
        <v>75</v>
      </c>
      <c r="AO64" s="98"/>
    </row>
    <row r="65" spans="1:77" s="54" customFormat="1" ht="15" x14ac:dyDescent="0.15">
      <c r="A65" s="20"/>
      <c r="B65" s="340" t="s">
        <v>741</v>
      </c>
      <c r="C65" s="78" t="s">
        <v>598</v>
      </c>
      <c r="D65" s="91">
        <v>3</v>
      </c>
      <c r="E65" s="90" t="s">
        <v>739</v>
      </c>
      <c r="F65" s="342" t="s">
        <v>955</v>
      </c>
      <c r="G65" s="390" t="s">
        <v>23</v>
      </c>
      <c r="H65" s="361"/>
      <c r="I65" s="361"/>
      <c r="J65" s="361"/>
      <c r="K65" s="391" t="s">
        <v>23</v>
      </c>
      <c r="L65" s="362"/>
      <c r="M65" s="363"/>
      <c r="N65" s="361"/>
      <c r="O65" s="361"/>
      <c r="P65" s="361"/>
      <c r="Q65" s="361" t="s">
        <v>23</v>
      </c>
      <c r="R65" s="361"/>
      <c r="S65" s="361"/>
      <c r="T65" s="361"/>
      <c r="U65" s="361"/>
      <c r="V65" s="361"/>
      <c r="W65" s="361"/>
      <c r="X65" s="361"/>
      <c r="Y65" s="361"/>
      <c r="Z65" s="362"/>
      <c r="AA65" s="379"/>
      <c r="AB65" s="380"/>
      <c r="AC65" s="380"/>
      <c r="AD65" s="380"/>
      <c r="AE65" s="380"/>
      <c r="AF65" s="380"/>
      <c r="AG65" s="380">
        <v>7</v>
      </c>
      <c r="AH65" s="380"/>
      <c r="AI65" s="380"/>
      <c r="AJ65" s="380"/>
      <c r="AK65" s="380">
        <v>68</v>
      </c>
      <c r="AL65" s="379">
        <v>30</v>
      </c>
      <c r="AM65" s="380">
        <v>45</v>
      </c>
      <c r="AN65" s="366">
        <f t="shared" si="0"/>
        <v>75</v>
      </c>
      <c r="AO65" s="98"/>
    </row>
    <row r="66" spans="1:77" s="54" customFormat="1" ht="15" x14ac:dyDescent="0.15">
      <c r="A66" s="20"/>
      <c r="B66" s="340" t="s">
        <v>743</v>
      </c>
      <c r="C66" s="78" t="s">
        <v>956</v>
      </c>
      <c r="D66" s="91">
        <v>6</v>
      </c>
      <c r="E66" s="90" t="s">
        <v>739</v>
      </c>
      <c r="F66" s="342" t="s">
        <v>946</v>
      </c>
      <c r="G66" s="360"/>
      <c r="H66" s="387" t="s">
        <v>23</v>
      </c>
      <c r="I66" s="387" t="s">
        <v>23</v>
      </c>
      <c r="J66" s="387" t="s">
        <v>23</v>
      </c>
      <c r="K66" s="387"/>
      <c r="L66" s="388"/>
      <c r="M66" s="389"/>
      <c r="N66" s="387" t="s">
        <v>23</v>
      </c>
      <c r="O66" s="387" t="s">
        <v>23</v>
      </c>
      <c r="P66" s="387"/>
      <c r="Q66" s="387"/>
      <c r="R66" s="387"/>
      <c r="S66" s="387"/>
      <c r="T66" s="387"/>
      <c r="U66" s="387"/>
      <c r="V66" s="387"/>
      <c r="W66" s="387"/>
      <c r="X66" s="387" t="s">
        <v>23</v>
      </c>
      <c r="Y66" s="387"/>
      <c r="Z66" s="362"/>
      <c r="AA66" s="379">
        <v>4</v>
      </c>
      <c r="AB66" s="380"/>
      <c r="AC66" s="380">
        <v>2</v>
      </c>
      <c r="AD66" s="380">
        <v>120</v>
      </c>
      <c r="AE66" s="380"/>
      <c r="AF66" s="380"/>
      <c r="AG66" s="380"/>
      <c r="AH66" s="380"/>
      <c r="AI66" s="380">
        <v>50</v>
      </c>
      <c r="AJ66" s="380"/>
      <c r="AK66" s="380"/>
      <c r="AL66" s="379">
        <v>126</v>
      </c>
      <c r="AM66" s="380">
        <v>50</v>
      </c>
      <c r="AN66" s="366">
        <f t="shared" si="0"/>
        <v>176</v>
      </c>
      <c r="AO66" s="98"/>
    </row>
    <row r="67" spans="1:77" s="54" customFormat="1" ht="15" x14ac:dyDescent="0.15">
      <c r="A67" s="20"/>
      <c r="B67" s="340">
        <v>37204225</v>
      </c>
      <c r="C67" s="78" t="s">
        <v>927</v>
      </c>
      <c r="D67" s="91">
        <v>3</v>
      </c>
      <c r="E67" s="90" t="s">
        <v>739</v>
      </c>
      <c r="F67" s="342" t="s">
        <v>951</v>
      </c>
      <c r="G67" s="360" t="s">
        <v>23</v>
      </c>
      <c r="H67" s="387" t="s">
        <v>23</v>
      </c>
      <c r="I67" s="361"/>
      <c r="J67" s="361"/>
      <c r="K67" s="361" t="s">
        <v>23</v>
      </c>
      <c r="L67" s="362" t="s">
        <v>23</v>
      </c>
      <c r="M67" s="363"/>
      <c r="N67" s="361"/>
      <c r="O67" s="361"/>
      <c r="P67" s="361"/>
      <c r="Q67" s="361" t="s">
        <v>23</v>
      </c>
      <c r="R67" s="361"/>
      <c r="S67" s="361"/>
      <c r="T67" s="361"/>
      <c r="U67" s="361" t="s">
        <v>23</v>
      </c>
      <c r="V67" s="361"/>
      <c r="W67" s="361"/>
      <c r="X67" s="361"/>
      <c r="Y67" s="361"/>
      <c r="Z67" s="362"/>
      <c r="AA67" s="379"/>
      <c r="AB67" s="380"/>
      <c r="AC67" s="380"/>
      <c r="AD67" s="380">
        <v>21</v>
      </c>
      <c r="AE67" s="380"/>
      <c r="AF67" s="380">
        <v>4</v>
      </c>
      <c r="AG67" s="380">
        <v>5</v>
      </c>
      <c r="AH67" s="380"/>
      <c r="AI67" s="380"/>
      <c r="AJ67" s="380">
        <v>30</v>
      </c>
      <c r="AK67" s="380">
        <v>15</v>
      </c>
      <c r="AL67" s="379">
        <v>30</v>
      </c>
      <c r="AM67" s="380">
        <v>45</v>
      </c>
      <c r="AN67" s="366">
        <f t="shared" si="0"/>
        <v>75</v>
      </c>
      <c r="AO67" s="98"/>
    </row>
    <row r="68" spans="1:77" s="54" customFormat="1" ht="15" x14ac:dyDescent="0.15">
      <c r="A68" s="20"/>
      <c r="B68" s="340" t="s">
        <v>740</v>
      </c>
      <c r="C68" s="78" t="s">
        <v>597</v>
      </c>
      <c r="D68" s="91">
        <v>3</v>
      </c>
      <c r="E68" s="90" t="s">
        <v>739</v>
      </c>
      <c r="F68" s="342" t="s">
        <v>955</v>
      </c>
      <c r="G68" s="360" t="s">
        <v>23</v>
      </c>
      <c r="H68" s="361"/>
      <c r="I68" s="361"/>
      <c r="J68" s="361" t="s">
        <v>23</v>
      </c>
      <c r="K68" s="361"/>
      <c r="L68" s="362" t="s">
        <v>23</v>
      </c>
      <c r="M68" s="363"/>
      <c r="N68" s="361"/>
      <c r="O68" s="361"/>
      <c r="P68" s="361"/>
      <c r="Q68" s="361" t="s">
        <v>23</v>
      </c>
      <c r="R68" s="361"/>
      <c r="S68" s="361"/>
      <c r="T68" s="361"/>
      <c r="U68" s="361"/>
      <c r="V68" s="361"/>
      <c r="W68" s="361"/>
      <c r="X68" s="361"/>
      <c r="Y68" s="361" t="s">
        <v>23</v>
      </c>
      <c r="Z68" s="362"/>
      <c r="AA68" s="379">
        <v>1</v>
      </c>
      <c r="AB68" s="380"/>
      <c r="AC68" s="380">
        <v>1</v>
      </c>
      <c r="AD68" s="380"/>
      <c r="AE68" s="380"/>
      <c r="AF68" s="380"/>
      <c r="AG68" s="380">
        <v>12</v>
      </c>
      <c r="AH68" s="380"/>
      <c r="AI68" s="380">
        <v>7</v>
      </c>
      <c r="AJ68" s="380">
        <v>20</v>
      </c>
      <c r="AK68" s="380">
        <v>34</v>
      </c>
      <c r="AL68" s="379">
        <v>35</v>
      </c>
      <c r="AM68" s="380">
        <v>40</v>
      </c>
      <c r="AN68" s="366">
        <f t="shared" si="0"/>
        <v>75</v>
      </c>
      <c r="AO68" s="98"/>
    </row>
    <row r="69" spans="1:77" s="54" customFormat="1" ht="24" x14ac:dyDescent="0.15">
      <c r="A69" s="20"/>
      <c r="B69" s="340">
        <v>37204209</v>
      </c>
      <c r="C69" s="78" t="s">
        <v>957</v>
      </c>
      <c r="D69" s="91">
        <v>3</v>
      </c>
      <c r="E69" s="90" t="s">
        <v>739</v>
      </c>
      <c r="F69" s="342" t="s">
        <v>953</v>
      </c>
      <c r="G69" s="360" t="s">
        <v>23</v>
      </c>
      <c r="H69" s="361"/>
      <c r="I69" s="361"/>
      <c r="J69" s="361" t="s">
        <v>23</v>
      </c>
      <c r="K69" s="361" t="s">
        <v>23</v>
      </c>
      <c r="L69" s="362" t="s">
        <v>23</v>
      </c>
      <c r="M69" s="363"/>
      <c r="N69" s="361"/>
      <c r="O69" s="361"/>
      <c r="P69" s="361"/>
      <c r="Q69" s="361"/>
      <c r="R69" s="361"/>
      <c r="S69" s="361"/>
      <c r="T69" s="361"/>
      <c r="U69" s="361" t="s">
        <v>23</v>
      </c>
      <c r="V69" s="361"/>
      <c r="W69" s="361"/>
      <c r="X69" s="361"/>
      <c r="Y69" s="361"/>
      <c r="Z69" s="362"/>
      <c r="AA69" s="379">
        <v>2</v>
      </c>
      <c r="AB69" s="380"/>
      <c r="AC69" s="380"/>
      <c r="AD69" s="380">
        <v>48</v>
      </c>
      <c r="AE69" s="380"/>
      <c r="AF69" s="380"/>
      <c r="AG69" s="380">
        <v>12</v>
      </c>
      <c r="AH69" s="380"/>
      <c r="AI69" s="380"/>
      <c r="AJ69" s="380">
        <v>9</v>
      </c>
      <c r="AK69" s="380">
        <v>4</v>
      </c>
      <c r="AL69" s="379">
        <v>30</v>
      </c>
      <c r="AM69" s="380">
        <v>45</v>
      </c>
      <c r="AN69" s="366">
        <f t="shared" si="0"/>
        <v>75</v>
      </c>
      <c r="AO69" s="98"/>
    </row>
    <row r="70" spans="1:77" s="54" customFormat="1" ht="24" x14ac:dyDescent="0.15">
      <c r="A70" s="20"/>
      <c r="B70" s="340">
        <v>37204222</v>
      </c>
      <c r="C70" s="78" t="s">
        <v>604</v>
      </c>
      <c r="D70" s="91">
        <v>3</v>
      </c>
      <c r="E70" s="90" t="s">
        <v>739</v>
      </c>
      <c r="F70" s="342" t="s">
        <v>953</v>
      </c>
      <c r="G70" s="360" t="s">
        <v>23</v>
      </c>
      <c r="H70" s="361"/>
      <c r="I70" s="361"/>
      <c r="J70" s="361" t="s">
        <v>23</v>
      </c>
      <c r="K70" s="361" t="s">
        <v>23</v>
      </c>
      <c r="L70" s="362" t="s">
        <v>23</v>
      </c>
      <c r="M70" s="363"/>
      <c r="N70" s="361"/>
      <c r="O70" s="361"/>
      <c r="P70" s="361" t="s">
        <v>23</v>
      </c>
      <c r="Q70" s="361" t="s">
        <v>23</v>
      </c>
      <c r="R70" s="361"/>
      <c r="S70" s="361"/>
      <c r="T70" s="361"/>
      <c r="U70" s="361" t="s">
        <v>23</v>
      </c>
      <c r="V70" s="361"/>
      <c r="W70" s="361"/>
      <c r="X70" s="361"/>
      <c r="Y70" s="361"/>
      <c r="Z70" s="362"/>
      <c r="AA70" s="379">
        <v>2</v>
      </c>
      <c r="AB70" s="380"/>
      <c r="AC70" s="380"/>
      <c r="AD70" s="380">
        <v>48</v>
      </c>
      <c r="AE70" s="380"/>
      <c r="AF70" s="380"/>
      <c r="AG70" s="380">
        <v>12</v>
      </c>
      <c r="AH70" s="380"/>
      <c r="AI70" s="380"/>
      <c r="AJ70" s="380">
        <v>9</v>
      </c>
      <c r="AK70" s="380">
        <v>4</v>
      </c>
      <c r="AL70" s="379">
        <v>30</v>
      </c>
      <c r="AM70" s="380">
        <v>45</v>
      </c>
      <c r="AN70" s="366">
        <f t="shared" si="0"/>
        <v>75</v>
      </c>
      <c r="AO70" s="98"/>
    </row>
    <row r="71" spans="1:77" ht="14" thickBot="1" x14ac:dyDescent="0.2">
      <c r="B71" s="343" t="s">
        <v>748</v>
      </c>
      <c r="C71" s="83" t="s">
        <v>594</v>
      </c>
      <c r="D71" s="94">
        <v>6</v>
      </c>
      <c r="E71" s="93" t="s">
        <v>739</v>
      </c>
      <c r="F71" s="344" t="s">
        <v>946</v>
      </c>
      <c r="G71" s="370"/>
      <c r="H71" s="371" t="s">
        <v>23</v>
      </c>
      <c r="I71" s="371"/>
      <c r="J71" s="371"/>
      <c r="K71" s="371" t="s">
        <v>23</v>
      </c>
      <c r="L71" s="372" t="s">
        <v>23</v>
      </c>
      <c r="M71" s="373"/>
      <c r="N71" s="371" t="s">
        <v>23</v>
      </c>
      <c r="O71" s="371"/>
      <c r="P71" s="371" t="s">
        <v>23</v>
      </c>
      <c r="Q71" s="371"/>
      <c r="R71" s="371" t="s">
        <v>23</v>
      </c>
      <c r="S71" s="371" t="s">
        <v>23</v>
      </c>
      <c r="T71" s="371"/>
      <c r="U71" s="371"/>
      <c r="V71" s="371"/>
      <c r="W71" s="371"/>
      <c r="X71" s="371"/>
      <c r="Y71" s="371"/>
      <c r="Z71" s="372"/>
      <c r="AA71" s="381">
        <v>2</v>
      </c>
      <c r="AB71" s="106"/>
      <c r="AC71" s="106">
        <v>14</v>
      </c>
      <c r="AD71" s="106"/>
      <c r="AE71" s="106">
        <v>36</v>
      </c>
      <c r="AF71" s="106"/>
      <c r="AG71" s="106"/>
      <c r="AH71" s="106"/>
      <c r="AI71" s="106">
        <v>98</v>
      </c>
      <c r="AJ71" s="106"/>
      <c r="AK71" s="106"/>
      <c r="AL71" s="381">
        <v>20</v>
      </c>
      <c r="AM71" s="106">
        <v>130</v>
      </c>
      <c r="AN71" s="382">
        <f t="shared" si="0"/>
        <v>150</v>
      </c>
    </row>
    <row r="72" spans="1:77" x14ac:dyDescent="0.15">
      <c r="B72" s="3" t="s">
        <v>68</v>
      </c>
    </row>
    <row r="73" spans="1:77" x14ac:dyDescent="0.15">
      <c r="B73" s="101"/>
    </row>
    <row r="74" spans="1:77" ht="16.5" customHeight="1" x14ac:dyDescent="0.15">
      <c r="B74" s="104"/>
      <c r="C74" s="98"/>
      <c r="D74" s="31"/>
      <c r="E74" s="31"/>
      <c r="F74" s="1181"/>
      <c r="G74" s="1181"/>
      <c r="H74" s="1181"/>
      <c r="I74" s="1181"/>
      <c r="J74" s="1181"/>
      <c r="K74" s="1181"/>
      <c r="L74" s="1181"/>
      <c r="M74" s="1181"/>
      <c r="N74" s="1181"/>
      <c r="O74" s="1181"/>
      <c r="P74" s="1181"/>
      <c r="Q74" s="1181"/>
      <c r="R74" s="1181"/>
      <c r="S74" s="1181"/>
      <c r="T74" s="1181"/>
      <c r="U74" s="1181"/>
      <c r="V74" s="1181"/>
      <c r="W74" s="1181"/>
      <c r="X74" s="31"/>
      <c r="Y74" s="96"/>
      <c r="Z74" s="96"/>
      <c r="AA74" s="96"/>
      <c r="AB74" s="96"/>
      <c r="AC74" s="96"/>
      <c r="AD74" s="96"/>
      <c r="AE74" s="96"/>
      <c r="AF74" s="1181"/>
      <c r="AG74" s="1181"/>
      <c r="AH74" s="1181"/>
      <c r="AI74" s="1181"/>
      <c r="AJ74" s="1181"/>
      <c r="AK74" s="1181"/>
      <c r="AL74" s="1181"/>
      <c r="AM74" s="1181"/>
      <c r="AN74" s="1181"/>
      <c r="AO74" s="1181"/>
      <c r="AP74" s="1181"/>
      <c r="AQ74" s="1181"/>
      <c r="AR74" s="1181"/>
      <c r="AS74" s="96"/>
      <c r="AT74" s="1181"/>
      <c r="AU74" s="1181"/>
      <c r="AV74" s="1181"/>
      <c r="AW74" s="1181"/>
      <c r="AX74" s="1181"/>
      <c r="AY74" s="1181"/>
      <c r="AZ74" s="1181"/>
      <c r="BA74" s="1181"/>
      <c r="BB74" s="1181"/>
      <c r="BC74" s="1181"/>
      <c r="BD74" s="1181"/>
      <c r="BE74" s="1181"/>
      <c r="BF74" s="1181"/>
      <c r="BG74" s="1181"/>
      <c r="BH74" s="1181"/>
      <c r="BI74" s="1181"/>
      <c r="BJ74" s="1181"/>
      <c r="BK74" s="1181"/>
      <c r="BL74" s="1181"/>
      <c r="BM74" s="1181"/>
      <c r="BN74" s="1181"/>
      <c r="BO74" s="1181"/>
      <c r="BP74" s="1181"/>
      <c r="BQ74" s="1181"/>
      <c r="BR74" s="1181"/>
      <c r="BS74" s="1181"/>
      <c r="BT74" s="1181"/>
      <c r="BU74" s="1181"/>
    </row>
    <row r="75" spans="1:77" ht="18" x14ac:dyDescent="0.2">
      <c r="B75" s="296"/>
      <c r="C75" s="296"/>
      <c r="D75" s="297"/>
      <c r="E75" s="297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31"/>
      <c r="Y75" s="296"/>
      <c r="Z75" s="296"/>
      <c r="AA75" s="296"/>
      <c r="AB75" s="296"/>
      <c r="AC75" s="296"/>
      <c r="AD75" s="296"/>
      <c r="AE75" s="296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300"/>
      <c r="AQ75" s="300"/>
      <c r="AR75" s="300"/>
      <c r="AS75" s="96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300"/>
      <c r="BT75" s="300"/>
      <c r="BU75" s="300"/>
      <c r="BX75" s="301"/>
    </row>
    <row r="76" spans="1:77" x14ac:dyDescent="0.15">
      <c r="B76" s="302"/>
      <c r="C76" s="303"/>
      <c r="D76" s="304"/>
      <c r="E76" s="305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1"/>
      <c r="Y76" s="307"/>
      <c r="Z76" s="303"/>
      <c r="AA76" s="305"/>
      <c r="AB76" s="308"/>
      <c r="AC76" s="304"/>
      <c r="AD76" s="309"/>
      <c r="AE76" s="309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</row>
    <row r="77" spans="1:77" ht="19" x14ac:dyDescent="0.25">
      <c r="B77" s="302"/>
      <c r="C77" s="303"/>
      <c r="D77" s="304"/>
      <c r="E77" s="305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1"/>
      <c r="Y77" s="307"/>
      <c r="Z77" s="303"/>
      <c r="AA77" s="305"/>
      <c r="AB77" s="308"/>
      <c r="AC77" s="304"/>
      <c r="AD77" s="309"/>
      <c r="AE77" s="309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X77" s="310"/>
    </row>
    <row r="78" spans="1:77" x14ac:dyDescent="0.15">
      <c r="B78" s="302"/>
      <c r="C78" s="303"/>
      <c r="D78" s="304"/>
      <c r="E78" s="305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1"/>
      <c r="Y78" s="307"/>
      <c r="Z78" s="303"/>
      <c r="AA78" s="305"/>
      <c r="AB78" s="308"/>
      <c r="AC78" s="304"/>
      <c r="AD78" s="309"/>
      <c r="AE78" s="309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</row>
    <row r="79" spans="1:77" x14ac:dyDescent="0.15">
      <c r="B79" s="302"/>
      <c r="C79" s="303"/>
      <c r="D79" s="304"/>
      <c r="E79" s="305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1"/>
      <c r="Y79" s="307"/>
      <c r="Z79" s="303"/>
      <c r="AA79" s="305"/>
      <c r="AB79" s="308"/>
      <c r="AC79" s="304"/>
      <c r="AD79" s="309"/>
      <c r="AE79" s="309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  <c r="BJ79" s="309"/>
      <c r="BK79" s="309"/>
      <c r="BL79" s="309"/>
      <c r="BM79" s="309"/>
      <c r="BN79" s="309"/>
      <c r="BO79" s="309"/>
      <c r="BP79" s="309"/>
      <c r="BQ79" s="309"/>
      <c r="BR79" s="309"/>
      <c r="BS79" s="309"/>
      <c r="BT79" s="309"/>
      <c r="BU79" s="309"/>
      <c r="BX79" s="311"/>
      <c r="BY79" s="311"/>
    </row>
    <row r="80" spans="1:77" x14ac:dyDescent="0.15">
      <c r="B80" s="302"/>
      <c r="C80" s="303"/>
      <c r="D80" s="304"/>
      <c r="E80" s="305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1"/>
      <c r="Y80" s="307"/>
      <c r="Z80" s="303"/>
      <c r="AA80" s="305"/>
      <c r="AB80" s="308"/>
      <c r="AC80" s="304"/>
      <c r="AD80" s="309"/>
      <c r="AE80" s="309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9"/>
      <c r="BG80" s="309"/>
      <c r="BH80" s="309"/>
      <c r="BI80" s="309"/>
      <c r="BJ80" s="309"/>
      <c r="BK80" s="309"/>
      <c r="BL80" s="309"/>
      <c r="BM80" s="309"/>
      <c r="BN80" s="309"/>
      <c r="BO80" s="309"/>
      <c r="BP80" s="309"/>
      <c r="BQ80" s="309"/>
      <c r="BR80" s="309"/>
      <c r="BS80" s="309"/>
      <c r="BT80" s="309"/>
      <c r="BU80" s="309"/>
    </row>
    <row r="81" spans="2:77" x14ac:dyDescent="0.15">
      <c r="B81" s="302"/>
      <c r="C81" s="303"/>
      <c r="D81" s="304"/>
      <c r="E81" s="305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1"/>
      <c r="Y81" s="307"/>
      <c r="Z81" s="303"/>
      <c r="AA81" s="305"/>
      <c r="AB81" s="308"/>
      <c r="AC81" s="304"/>
      <c r="AD81" s="309"/>
      <c r="AE81" s="309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  <c r="BL81" s="309"/>
      <c r="BM81" s="309"/>
      <c r="BN81" s="309"/>
      <c r="BO81" s="309"/>
      <c r="BP81" s="309"/>
      <c r="BQ81" s="309"/>
      <c r="BR81" s="309"/>
      <c r="BS81" s="309"/>
      <c r="BT81" s="309"/>
      <c r="BU81" s="309"/>
    </row>
    <row r="82" spans="2:77" x14ac:dyDescent="0.15">
      <c r="B82" s="302"/>
      <c r="C82" s="303"/>
      <c r="D82" s="304"/>
      <c r="E82" s="305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1"/>
      <c r="Y82" s="307"/>
      <c r="Z82" s="303"/>
      <c r="AA82" s="305"/>
      <c r="AB82" s="308"/>
      <c r="AC82" s="304"/>
      <c r="AD82" s="309"/>
      <c r="AE82" s="309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9"/>
      <c r="BG82" s="309"/>
      <c r="BH82" s="309"/>
      <c r="BI82" s="309"/>
      <c r="BJ82" s="309"/>
      <c r="BK82" s="309"/>
      <c r="BL82" s="309"/>
      <c r="BM82" s="309"/>
      <c r="BN82" s="309"/>
      <c r="BO82" s="309"/>
      <c r="BP82" s="309"/>
      <c r="BQ82" s="309"/>
      <c r="BR82" s="309"/>
      <c r="BS82" s="309"/>
      <c r="BT82" s="309"/>
      <c r="BU82" s="309"/>
    </row>
    <row r="83" spans="2:77" x14ac:dyDescent="0.15">
      <c r="B83" s="302"/>
      <c r="C83" s="303"/>
      <c r="D83" s="304"/>
      <c r="E83" s="305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1"/>
      <c r="Y83" s="307"/>
      <c r="Z83" s="303"/>
      <c r="AA83" s="305"/>
      <c r="AB83" s="308"/>
      <c r="AC83" s="304"/>
      <c r="AD83" s="309"/>
      <c r="AE83" s="309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9"/>
      <c r="BG83" s="309"/>
      <c r="BH83" s="309"/>
      <c r="BI83" s="309"/>
      <c r="BJ83" s="309"/>
      <c r="BK83" s="309"/>
      <c r="BL83" s="309"/>
      <c r="BM83" s="309"/>
      <c r="BN83" s="309"/>
      <c r="BO83" s="309"/>
      <c r="BP83" s="309"/>
      <c r="BQ83" s="309"/>
      <c r="BR83" s="309"/>
      <c r="BS83" s="309"/>
      <c r="BT83" s="309"/>
      <c r="BU83" s="309"/>
    </row>
    <row r="84" spans="2:77" x14ac:dyDescent="0.15">
      <c r="B84" s="302"/>
      <c r="C84" s="303"/>
      <c r="D84" s="304"/>
      <c r="E84" s="305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1"/>
      <c r="Y84" s="307"/>
      <c r="Z84" s="303"/>
      <c r="AA84" s="305"/>
      <c r="AB84" s="308"/>
      <c r="AC84" s="304"/>
      <c r="AD84" s="309"/>
      <c r="AE84" s="309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  <c r="BG84" s="309"/>
      <c r="BH84" s="309"/>
      <c r="BI84" s="309"/>
      <c r="BJ84" s="309"/>
      <c r="BK84" s="309"/>
      <c r="BL84" s="309"/>
      <c r="BM84" s="309"/>
      <c r="BN84" s="309"/>
      <c r="BO84" s="309"/>
      <c r="BP84" s="309"/>
      <c r="BQ84" s="309"/>
      <c r="BR84" s="309"/>
      <c r="BS84" s="309"/>
      <c r="BT84" s="309"/>
      <c r="BU84" s="309"/>
    </row>
    <row r="85" spans="2:77" x14ac:dyDescent="0.15">
      <c r="B85" s="302"/>
      <c r="C85" s="303"/>
      <c r="D85" s="304"/>
      <c r="E85" s="305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1"/>
      <c r="Y85" s="307"/>
      <c r="Z85" s="303"/>
      <c r="AA85" s="305"/>
      <c r="AB85" s="308"/>
      <c r="AC85" s="304"/>
      <c r="AD85" s="309"/>
      <c r="AE85" s="309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9"/>
      <c r="BG85" s="309"/>
      <c r="BH85" s="309"/>
      <c r="BI85" s="309"/>
      <c r="BJ85" s="309"/>
      <c r="BK85" s="309"/>
      <c r="BL85" s="309"/>
      <c r="BM85" s="309"/>
      <c r="BN85" s="309"/>
      <c r="BO85" s="309"/>
      <c r="BP85" s="309"/>
      <c r="BQ85" s="309"/>
      <c r="BR85" s="309"/>
      <c r="BS85" s="309"/>
      <c r="BT85" s="309"/>
      <c r="BU85" s="309"/>
    </row>
    <row r="86" spans="2:77" x14ac:dyDescent="0.15">
      <c r="B86" s="312"/>
      <c r="C86" s="313"/>
      <c r="D86" s="304"/>
      <c r="E86" s="304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1"/>
      <c r="Y86" s="307"/>
      <c r="Z86" s="303"/>
      <c r="AA86" s="304"/>
      <c r="AB86" s="304"/>
      <c r="AC86" s="309"/>
      <c r="AD86" s="314"/>
      <c r="AE86" s="314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299"/>
      <c r="AQ86" s="299"/>
      <c r="AR86" s="299"/>
      <c r="AS86" s="96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299"/>
      <c r="BF86" s="299"/>
      <c r="BG86" s="299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299"/>
      <c r="BT86" s="299"/>
      <c r="BU86" s="299"/>
    </row>
    <row r="87" spans="2:77" x14ac:dyDescent="0.15">
      <c r="B87" s="312"/>
      <c r="C87" s="313"/>
      <c r="D87" s="304"/>
      <c r="E87" s="304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1"/>
      <c r="Y87" s="307"/>
      <c r="Z87" s="303"/>
      <c r="AA87" s="304"/>
      <c r="AB87" s="304"/>
      <c r="AC87" s="309"/>
      <c r="AD87" s="314"/>
      <c r="AE87" s="314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315"/>
      <c r="AQ87" s="315"/>
      <c r="AR87" s="315"/>
      <c r="AS87" s="96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315"/>
      <c r="BF87" s="315"/>
      <c r="BG87" s="315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315"/>
      <c r="BT87" s="315"/>
      <c r="BU87" s="315"/>
    </row>
    <row r="88" spans="2:77" x14ac:dyDescent="0.15">
      <c r="B88" s="316"/>
      <c r="C88" s="98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</row>
    <row r="89" spans="2:77" ht="16.5" customHeight="1" x14ac:dyDescent="0.15">
      <c r="B89" s="104"/>
      <c r="C89" s="98"/>
      <c r="D89" s="31"/>
      <c r="E89" s="31"/>
      <c r="F89" s="1181"/>
      <c r="G89" s="1181"/>
      <c r="H89" s="1181"/>
      <c r="I89" s="1181"/>
      <c r="J89" s="1181"/>
      <c r="K89" s="1181"/>
      <c r="L89" s="1181"/>
      <c r="M89" s="1181"/>
      <c r="N89" s="1181"/>
      <c r="O89" s="1181"/>
      <c r="P89" s="1181"/>
      <c r="Q89" s="1181"/>
      <c r="R89" s="1181"/>
      <c r="S89" s="1181"/>
      <c r="T89" s="1181"/>
      <c r="U89" s="1181"/>
      <c r="V89" s="1181"/>
      <c r="W89" s="1181"/>
      <c r="X89" s="31"/>
      <c r="Y89" s="96"/>
      <c r="Z89" s="96"/>
      <c r="AA89" s="96"/>
      <c r="AB89" s="96"/>
      <c r="AC89" s="96"/>
      <c r="AD89" s="96"/>
      <c r="AE89" s="96"/>
      <c r="AF89" s="1181"/>
      <c r="AG89" s="1181"/>
      <c r="AH89" s="1181"/>
      <c r="AI89" s="1181"/>
      <c r="AJ89" s="1181"/>
      <c r="AK89" s="1181"/>
      <c r="AL89" s="1181"/>
      <c r="AM89" s="1181"/>
      <c r="AN89" s="1181"/>
      <c r="AO89" s="1181"/>
      <c r="AP89" s="1181"/>
      <c r="AQ89" s="1181"/>
      <c r="AR89" s="1181"/>
      <c r="AS89" s="96"/>
      <c r="AT89" s="1181"/>
      <c r="AU89" s="1181"/>
      <c r="AV89" s="1181"/>
      <c r="AW89" s="1181"/>
      <c r="AX89" s="1181"/>
      <c r="AY89" s="1181"/>
      <c r="AZ89" s="1181"/>
      <c r="BA89" s="1181"/>
      <c r="BB89" s="1181"/>
      <c r="BC89" s="1181"/>
      <c r="BD89" s="1181"/>
      <c r="BE89" s="1181"/>
      <c r="BF89" s="1181"/>
      <c r="BG89" s="1181"/>
      <c r="BH89" s="1181"/>
      <c r="BI89" s="1181"/>
      <c r="BJ89" s="1181"/>
      <c r="BK89" s="1181"/>
      <c r="BL89" s="1181"/>
      <c r="BM89" s="1181"/>
      <c r="BN89" s="1181"/>
      <c r="BO89" s="1181"/>
      <c r="BP89" s="1181"/>
      <c r="BQ89" s="1181"/>
      <c r="BR89" s="1181"/>
      <c r="BS89" s="1181"/>
      <c r="BT89" s="1181"/>
      <c r="BU89" s="1181"/>
    </row>
    <row r="90" spans="2:77" s="317" customFormat="1" x14ac:dyDescent="0.15">
      <c r="B90" s="296"/>
      <c r="C90" s="296"/>
      <c r="D90" s="296"/>
      <c r="E90" s="296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107"/>
      <c r="Y90" s="296"/>
      <c r="Z90" s="296"/>
      <c r="AA90" s="296"/>
      <c r="AB90" s="296"/>
      <c r="AC90" s="296"/>
      <c r="AD90" s="296"/>
      <c r="AE90" s="296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107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X90" s="20"/>
      <c r="BY90" s="20"/>
    </row>
    <row r="91" spans="2:77" x14ac:dyDescent="0.15">
      <c r="B91" s="312"/>
      <c r="C91" s="313"/>
      <c r="D91" s="304"/>
      <c r="E91" s="304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1"/>
      <c r="Y91" s="307"/>
      <c r="Z91" s="303"/>
      <c r="AA91" s="304"/>
      <c r="AB91" s="308"/>
      <c r="AC91" s="309"/>
      <c r="AD91" s="309"/>
      <c r="AE91" s="309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</row>
    <row r="92" spans="2:77" x14ac:dyDescent="0.15">
      <c r="B92" s="312"/>
      <c r="C92" s="313"/>
      <c r="D92" s="304"/>
      <c r="E92" s="304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1"/>
      <c r="Y92" s="307"/>
      <c r="Z92" s="303"/>
      <c r="AA92" s="304"/>
      <c r="AB92" s="304"/>
      <c r="AC92" s="309"/>
      <c r="AD92" s="309"/>
      <c r="AE92" s="309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</row>
    <row r="93" spans="2:77" x14ac:dyDescent="0.15">
      <c r="B93" s="312"/>
      <c r="C93" s="313"/>
      <c r="D93" s="304"/>
      <c r="E93" s="304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1"/>
      <c r="Y93" s="307"/>
      <c r="Z93" s="303"/>
      <c r="AA93" s="304"/>
      <c r="AB93" s="304"/>
      <c r="AC93" s="309"/>
      <c r="AD93" s="309"/>
      <c r="AE93" s="309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</row>
    <row r="94" spans="2:77" x14ac:dyDescent="0.15">
      <c r="B94" s="312"/>
      <c r="C94" s="313"/>
      <c r="D94" s="304"/>
      <c r="E94" s="304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1"/>
      <c r="Y94" s="307"/>
      <c r="Z94" s="303"/>
      <c r="AA94" s="304"/>
      <c r="AB94" s="308"/>
      <c r="AC94" s="309"/>
      <c r="AD94" s="309"/>
      <c r="AE94" s="309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</row>
    <row r="95" spans="2:77" x14ac:dyDescent="0.15">
      <c r="B95" s="312"/>
      <c r="C95" s="313"/>
      <c r="D95" s="304"/>
      <c r="E95" s="304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1"/>
      <c r="Y95" s="307"/>
      <c r="Z95" s="303"/>
      <c r="AA95" s="304"/>
      <c r="AB95" s="304"/>
      <c r="AC95" s="309"/>
      <c r="AD95" s="309"/>
      <c r="AE95" s="309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</row>
    <row r="96" spans="2:77" x14ac:dyDescent="0.15">
      <c r="B96" s="312"/>
      <c r="C96" s="313"/>
      <c r="D96" s="304"/>
      <c r="E96" s="304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1"/>
      <c r="Y96" s="307"/>
      <c r="Z96" s="303"/>
      <c r="AA96" s="304"/>
      <c r="AB96" s="304"/>
      <c r="AC96" s="309"/>
      <c r="AD96" s="309"/>
      <c r="AE96" s="309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</row>
    <row r="97" spans="1:77" ht="43.5" customHeight="1" x14ac:dyDescent="0.15">
      <c r="B97" s="312"/>
      <c r="C97" s="313"/>
      <c r="D97" s="304"/>
      <c r="E97" s="304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1"/>
      <c r="Y97" s="307"/>
      <c r="Z97" s="303"/>
      <c r="AA97" s="304"/>
      <c r="AB97" s="304"/>
      <c r="AC97" s="309"/>
      <c r="AD97" s="309"/>
      <c r="AE97" s="309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</row>
    <row r="98" spans="1:77" x14ac:dyDescent="0.15">
      <c r="B98" s="312"/>
      <c r="C98" s="313"/>
      <c r="D98" s="304"/>
      <c r="E98" s="304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1"/>
      <c r="Y98" s="307"/>
      <c r="Z98" s="303"/>
      <c r="AA98" s="304"/>
      <c r="AB98" s="304"/>
      <c r="AC98" s="309"/>
      <c r="AD98" s="309"/>
      <c r="AE98" s="309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</row>
    <row r="99" spans="1:77" x14ac:dyDescent="0.15">
      <c r="B99" s="312"/>
      <c r="C99" s="313"/>
      <c r="D99" s="304"/>
      <c r="E99" s="304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1"/>
      <c r="Y99" s="307"/>
      <c r="Z99" s="303"/>
      <c r="AA99" s="304"/>
      <c r="AB99" s="304"/>
      <c r="AC99" s="309"/>
      <c r="AD99" s="309"/>
      <c r="AE99" s="309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</row>
    <row r="100" spans="1:77" ht="57.75" customHeight="1" x14ac:dyDescent="0.15">
      <c r="B100" s="312"/>
      <c r="C100" s="313"/>
      <c r="D100" s="304"/>
      <c r="E100" s="304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1"/>
      <c r="Y100" s="307"/>
      <c r="Z100" s="303"/>
      <c r="AA100" s="304"/>
      <c r="AB100" s="304"/>
      <c r="AC100" s="309"/>
      <c r="AD100" s="309"/>
      <c r="AE100" s="309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</row>
    <row r="101" spans="1:77" x14ac:dyDescent="0.15">
      <c r="B101" s="312"/>
      <c r="C101" s="313"/>
      <c r="D101" s="304"/>
      <c r="E101" s="304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1"/>
      <c r="Y101" s="307"/>
      <c r="Z101" s="303"/>
      <c r="AA101" s="304"/>
      <c r="AB101" s="308"/>
      <c r="AC101" s="309"/>
      <c r="AD101" s="309"/>
      <c r="AE101" s="309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</row>
    <row r="102" spans="1:77" x14ac:dyDescent="0.15">
      <c r="B102" s="312"/>
      <c r="C102" s="313"/>
      <c r="D102" s="304"/>
      <c r="E102" s="304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1"/>
      <c r="Y102" s="307"/>
      <c r="Z102" s="303"/>
      <c r="AA102" s="304"/>
      <c r="AB102" s="304"/>
      <c r="AC102" s="309"/>
      <c r="AD102" s="314"/>
      <c r="AE102" s="314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</row>
    <row r="103" spans="1:77" x14ac:dyDescent="0.15">
      <c r="B103" s="312"/>
      <c r="C103" s="313"/>
      <c r="D103" s="304"/>
      <c r="E103" s="304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1"/>
      <c r="Y103" s="307"/>
      <c r="Z103" s="303"/>
      <c r="AA103" s="304"/>
      <c r="AB103" s="304"/>
      <c r="AC103" s="309"/>
      <c r="AD103" s="314"/>
      <c r="AE103" s="314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299"/>
      <c r="AQ103" s="299"/>
      <c r="AR103" s="299"/>
      <c r="AS103" s="96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299"/>
      <c r="BF103" s="299"/>
      <c r="BG103" s="299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299"/>
      <c r="BT103" s="299"/>
      <c r="BU103" s="299"/>
    </row>
    <row r="104" spans="1:77" x14ac:dyDescent="0.15">
      <c r="B104" s="312"/>
      <c r="C104" s="313"/>
      <c r="D104" s="304"/>
      <c r="E104" s="304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1"/>
      <c r="Y104" s="307"/>
      <c r="Z104" s="303"/>
      <c r="AA104" s="304"/>
      <c r="AB104" s="304"/>
      <c r="AC104" s="309"/>
      <c r="AD104" s="314"/>
      <c r="AE104" s="314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315"/>
      <c r="AQ104" s="315"/>
      <c r="AR104" s="315"/>
      <c r="AS104" s="96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315"/>
      <c r="BF104" s="315"/>
      <c r="BG104" s="315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315"/>
      <c r="BT104" s="315"/>
      <c r="BU104" s="315"/>
    </row>
    <row r="105" spans="1:77" x14ac:dyDescent="0.15">
      <c r="B105" s="104"/>
      <c r="C105" s="98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</row>
    <row r="106" spans="1:77" ht="16.5" customHeight="1" x14ac:dyDescent="0.15">
      <c r="B106" s="104"/>
      <c r="C106" s="98"/>
      <c r="D106" s="31"/>
      <c r="E106" s="31"/>
      <c r="F106" s="1181"/>
      <c r="G106" s="1181"/>
      <c r="H106" s="1181"/>
      <c r="I106" s="1181"/>
      <c r="J106" s="1181"/>
      <c r="K106" s="1181"/>
      <c r="L106" s="1181"/>
      <c r="M106" s="1181"/>
      <c r="N106" s="1181"/>
      <c r="O106" s="1181"/>
      <c r="P106" s="1181"/>
      <c r="Q106" s="1181"/>
      <c r="R106" s="1181"/>
      <c r="S106" s="1181"/>
      <c r="T106" s="1181"/>
      <c r="U106" s="1181"/>
      <c r="V106" s="1181"/>
      <c r="W106" s="1181"/>
      <c r="X106" s="31"/>
      <c r="Y106" s="96"/>
      <c r="Z106" s="96"/>
      <c r="AA106" s="96"/>
      <c r="AB106" s="96"/>
      <c r="AC106" s="96"/>
      <c r="AD106" s="96"/>
      <c r="AE106" s="96"/>
      <c r="AF106" s="1181"/>
      <c r="AG106" s="1181"/>
      <c r="AH106" s="1181"/>
      <c r="AI106" s="1181"/>
      <c r="AJ106" s="1181"/>
      <c r="AK106" s="1181"/>
      <c r="AL106" s="1181"/>
      <c r="AM106" s="1181"/>
      <c r="AN106" s="1181"/>
      <c r="AO106" s="1181"/>
      <c r="AP106" s="1181"/>
      <c r="AQ106" s="1181"/>
      <c r="AR106" s="1181"/>
      <c r="AS106" s="96"/>
      <c r="AT106" s="1181"/>
      <c r="AU106" s="1181"/>
      <c r="AV106" s="1181"/>
      <c r="AW106" s="1181"/>
      <c r="AX106" s="1181"/>
      <c r="AY106" s="1181"/>
      <c r="AZ106" s="1181"/>
      <c r="BA106" s="1181"/>
      <c r="BB106" s="1181"/>
      <c r="BC106" s="1181"/>
      <c r="BD106" s="1181"/>
      <c r="BE106" s="1181"/>
      <c r="BF106" s="1181"/>
      <c r="BG106" s="1181"/>
      <c r="BH106" s="1181"/>
      <c r="BI106" s="1181"/>
      <c r="BJ106" s="1181"/>
      <c r="BK106" s="1181"/>
      <c r="BL106" s="1181"/>
      <c r="BM106" s="1181"/>
      <c r="BN106" s="1181"/>
      <c r="BO106" s="1181"/>
      <c r="BP106" s="1181"/>
      <c r="BQ106" s="1181"/>
      <c r="BR106" s="1181"/>
      <c r="BS106" s="1181"/>
      <c r="BT106" s="1181"/>
      <c r="BU106" s="1181"/>
    </row>
    <row r="107" spans="1:77" s="97" customFormat="1" x14ac:dyDescent="0.2">
      <c r="B107" s="296"/>
      <c r="C107" s="296"/>
      <c r="D107" s="296"/>
      <c r="E107" s="296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98"/>
      <c r="Y107" s="296"/>
      <c r="Z107" s="296"/>
      <c r="AA107" s="296"/>
      <c r="AB107" s="296"/>
      <c r="AC107" s="296"/>
      <c r="AD107" s="296"/>
      <c r="AE107" s="296"/>
      <c r="AF107" s="318"/>
      <c r="AG107" s="318"/>
      <c r="AH107" s="318"/>
      <c r="AI107" s="318"/>
      <c r="AJ107" s="318"/>
      <c r="AK107" s="318"/>
      <c r="AL107" s="318"/>
      <c r="AM107" s="318"/>
      <c r="AN107" s="318"/>
      <c r="AO107" s="318"/>
      <c r="AP107" s="300"/>
      <c r="AQ107" s="300"/>
      <c r="AR107" s="300"/>
      <c r="AS107" s="9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00"/>
      <c r="BF107" s="300"/>
      <c r="BG107" s="300"/>
      <c r="BH107" s="318"/>
      <c r="BI107" s="318"/>
      <c r="BJ107" s="318"/>
      <c r="BK107" s="318"/>
      <c r="BL107" s="318"/>
      <c r="BM107" s="318"/>
      <c r="BN107" s="318"/>
      <c r="BO107" s="318"/>
      <c r="BP107" s="318"/>
      <c r="BQ107" s="318"/>
      <c r="BR107" s="318"/>
      <c r="BS107" s="300"/>
      <c r="BT107" s="300"/>
      <c r="BU107" s="300"/>
    </row>
    <row r="108" spans="1:77" s="73" customFormat="1" ht="33" customHeight="1" x14ac:dyDescent="0.15">
      <c r="A108" s="20"/>
      <c r="B108" s="312"/>
      <c r="C108" s="303"/>
      <c r="D108" s="304"/>
      <c r="E108" s="319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88"/>
      <c r="Y108" s="320"/>
      <c r="Z108" s="303"/>
      <c r="AA108" s="319"/>
      <c r="AB108" s="304"/>
      <c r="AC108" s="304"/>
      <c r="AD108" s="321"/>
      <c r="AE108" s="321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20"/>
      <c r="BW108" s="20"/>
      <c r="BX108" s="20"/>
      <c r="BY108" s="20"/>
    </row>
    <row r="109" spans="1:77" s="73" customFormat="1" ht="45" customHeight="1" x14ac:dyDescent="0.15">
      <c r="A109" s="20"/>
      <c r="B109" s="312"/>
      <c r="C109" s="303"/>
      <c r="D109" s="304"/>
      <c r="E109" s="319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88"/>
      <c r="Y109" s="320"/>
      <c r="Z109" s="303"/>
      <c r="AA109" s="319"/>
      <c r="AB109" s="304"/>
      <c r="AC109" s="304"/>
      <c r="AD109" s="321"/>
      <c r="AE109" s="321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20"/>
      <c r="BW109" s="20"/>
      <c r="BX109" s="20"/>
      <c r="BY109" s="20"/>
    </row>
    <row r="110" spans="1:77" s="73" customFormat="1" x14ac:dyDescent="0.15">
      <c r="A110" s="20"/>
      <c r="B110" s="312"/>
      <c r="C110" s="303"/>
      <c r="D110" s="304"/>
      <c r="E110" s="319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88"/>
      <c r="Y110" s="320"/>
      <c r="Z110" s="303"/>
      <c r="AA110" s="319"/>
      <c r="AB110" s="304"/>
      <c r="AC110" s="304"/>
      <c r="AD110" s="321"/>
      <c r="AE110" s="321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20"/>
      <c r="BW110" s="20"/>
      <c r="BX110" s="20"/>
      <c r="BY110" s="20"/>
    </row>
    <row r="111" spans="1:77" s="73" customFormat="1" x14ac:dyDescent="0.15">
      <c r="A111" s="20"/>
      <c r="B111" s="312"/>
      <c r="C111" s="303"/>
      <c r="D111" s="304"/>
      <c r="E111" s="319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88"/>
      <c r="Y111" s="320"/>
      <c r="Z111" s="303"/>
      <c r="AA111" s="319"/>
      <c r="AB111" s="304"/>
      <c r="AC111" s="304"/>
      <c r="AD111" s="321"/>
      <c r="AE111" s="321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20"/>
      <c r="BW111" s="20"/>
      <c r="BX111" s="20"/>
      <c r="BY111" s="20"/>
    </row>
    <row r="112" spans="1:77" s="73" customFormat="1" ht="47.25" customHeight="1" x14ac:dyDescent="0.15">
      <c r="A112" s="20"/>
      <c r="B112" s="312"/>
      <c r="C112" s="303"/>
      <c r="D112" s="304"/>
      <c r="E112" s="319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88"/>
      <c r="Y112" s="320"/>
      <c r="Z112" s="303"/>
      <c r="AA112" s="319"/>
      <c r="AB112" s="304"/>
      <c r="AC112" s="304"/>
      <c r="AD112" s="321"/>
      <c r="AE112" s="321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20"/>
      <c r="BW112" s="20"/>
      <c r="BX112" s="20"/>
      <c r="BY112" s="20"/>
    </row>
    <row r="113" spans="1:77" s="73" customFormat="1" x14ac:dyDescent="0.15">
      <c r="A113" s="20"/>
      <c r="B113" s="312"/>
      <c r="C113" s="303"/>
      <c r="D113" s="304"/>
      <c r="E113" s="319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88"/>
      <c r="Y113" s="320"/>
      <c r="Z113" s="303"/>
      <c r="AA113" s="319"/>
      <c r="AB113" s="304"/>
      <c r="AC113" s="304"/>
      <c r="AD113" s="321"/>
      <c r="AE113" s="321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20"/>
      <c r="BW113" s="20"/>
    </row>
    <row r="114" spans="1:77" s="73" customFormat="1" x14ac:dyDescent="0.15">
      <c r="A114" s="20"/>
      <c r="B114" s="312"/>
      <c r="C114" s="303"/>
      <c r="D114" s="304"/>
      <c r="E114" s="319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88"/>
      <c r="Y114" s="320"/>
      <c r="Z114" s="303"/>
      <c r="AA114" s="319"/>
      <c r="AB114" s="304"/>
      <c r="AC114" s="304"/>
      <c r="AD114" s="321"/>
      <c r="AE114" s="321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20"/>
      <c r="BW114" s="20"/>
    </row>
    <row r="115" spans="1:77" s="73" customFormat="1" ht="35.25" customHeight="1" x14ac:dyDescent="0.15">
      <c r="A115" s="20"/>
      <c r="B115" s="312"/>
      <c r="C115" s="303"/>
      <c r="D115" s="304"/>
      <c r="E115" s="319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88"/>
      <c r="Y115" s="320"/>
      <c r="Z115" s="303"/>
      <c r="AA115" s="319"/>
      <c r="AB115" s="304"/>
      <c r="AC115" s="304"/>
      <c r="AD115" s="321"/>
      <c r="AE115" s="321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20"/>
      <c r="BW115" s="20"/>
    </row>
    <row r="116" spans="1:77" s="73" customFormat="1" x14ac:dyDescent="0.15">
      <c r="A116" s="20"/>
      <c r="B116" s="312"/>
      <c r="C116" s="303"/>
      <c r="D116" s="304"/>
      <c r="E116" s="319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88"/>
      <c r="Y116" s="320"/>
      <c r="Z116" s="303"/>
      <c r="AA116" s="319"/>
      <c r="AB116" s="304"/>
      <c r="AC116" s="304"/>
      <c r="AD116" s="321"/>
      <c r="AE116" s="321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20"/>
      <c r="BW116" s="20"/>
    </row>
    <row r="117" spans="1:77" s="73" customFormat="1" x14ac:dyDescent="0.15">
      <c r="A117" s="20"/>
      <c r="B117" s="312"/>
      <c r="C117" s="303"/>
      <c r="D117" s="304"/>
      <c r="E117" s="319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88"/>
      <c r="Y117" s="320"/>
      <c r="Z117" s="303"/>
      <c r="AA117" s="319"/>
      <c r="AB117" s="304"/>
      <c r="AC117" s="304"/>
      <c r="AD117" s="309"/>
      <c r="AE117" s="321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20"/>
      <c r="BW117" s="20"/>
    </row>
    <row r="118" spans="1:77" s="73" customFormat="1" x14ac:dyDescent="0.15">
      <c r="A118" s="20"/>
      <c r="B118" s="312"/>
      <c r="C118" s="303"/>
      <c r="D118" s="304"/>
      <c r="E118" s="319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88"/>
      <c r="Y118" s="320"/>
      <c r="Z118" s="303"/>
      <c r="AA118" s="319"/>
      <c r="AB118" s="304"/>
      <c r="AC118" s="304"/>
      <c r="AD118" s="321"/>
      <c r="AE118" s="321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20"/>
      <c r="BW118" s="20"/>
    </row>
    <row r="119" spans="1:77" s="73" customFormat="1" x14ac:dyDescent="0.15">
      <c r="A119" s="20"/>
      <c r="B119" s="312"/>
      <c r="C119" s="303"/>
      <c r="D119" s="304"/>
      <c r="E119" s="319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88"/>
      <c r="Y119" s="320"/>
      <c r="Z119" s="303"/>
      <c r="AA119" s="319"/>
      <c r="AB119" s="304"/>
      <c r="AC119" s="304"/>
      <c r="AD119" s="321"/>
      <c r="AE119" s="107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20"/>
      <c r="BW119" s="20"/>
    </row>
    <row r="120" spans="1:77" s="73" customFormat="1" x14ac:dyDescent="0.15">
      <c r="A120" s="20"/>
      <c r="B120" s="312"/>
      <c r="C120" s="303"/>
      <c r="D120" s="304"/>
      <c r="E120" s="319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88"/>
      <c r="Y120" s="320"/>
      <c r="Z120" s="303"/>
      <c r="AA120" s="319"/>
      <c r="AB120" s="304"/>
      <c r="AC120" s="304"/>
      <c r="AD120" s="314"/>
      <c r="AE120" s="107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20"/>
      <c r="BW120" s="20"/>
    </row>
    <row r="121" spans="1:77" s="73" customFormat="1" x14ac:dyDescent="0.15">
      <c r="A121" s="20"/>
      <c r="B121" s="312"/>
      <c r="C121" s="303"/>
      <c r="D121" s="304"/>
      <c r="E121" s="319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88"/>
      <c r="Y121" s="320"/>
      <c r="Z121" s="303"/>
      <c r="AA121" s="319"/>
      <c r="AB121" s="304"/>
      <c r="AC121" s="304"/>
      <c r="AD121" s="314"/>
      <c r="AE121" s="107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20"/>
      <c r="BW121" s="20"/>
    </row>
    <row r="122" spans="1:77" s="73" customFormat="1" x14ac:dyDescent="0.15">
      <c r="A122" s="20"/>
      <c r="B122" s="312"/>
      <c r="C122" s="303"/>
      <c r="D122" s="304"/>
      <c r="E122" s="319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88"/>
      <c r="Y122" s="320"/>
      <c r="Z122" s="303"/>
      <c r="AA122" s="319"/>
      <c r="AB122" s="304"/>
      <c r="AC122" s="304"/>
      <c r="AD122" s="321"/>
      <c r="AE122" s="107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20"/>
      <c r="BW122" s="20"/>
    </row>
    <row r="123" spans="1:77" s="73" customFormat="1" x14ac:dyDescent="0.15">
      <c r="A123" s="20"/>
      <c r="B123" s="312"/>
      <c r="C123" s="303"/>
      <c r="D123" s="304"/>
      <c r="E123" s="319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88"/>
      <c r="Y123" s="320"/>
      <c r="Z123" s="303"/>
      <c r="AA123" s="319"/>
      <c r="AB123" s="304"/>
      <c r="AC123" s="304"/>
      <c r="AD123" s="321"/>
      <c r="AE123" s="107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299"/>
      <c r="AQ123" s="299"/>
      <c r="AR123" s="299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299"/>
      <c r="BF123" s="299"/>
      <c r="BG123" s="299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299"/>
      <c r="BT123" s="299"/>
      <c r="BU123" s="299"/>
      <c r="BV123" s="20"/>
      <c r="BW123" s="20"/>
    </row>
    <row r="124" spans="1:77" s="73" customFormat="1" x14ac:dyDescent="0.15">
      <c r="A124" s="20"/>
      <c r="B124" s="312"/>
      <c r="C124" s="303"/>
      <c r="D124" s="304"/>
      <c r="E124" s="319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88"/>
      <c r="Y124" s="320"/>
      <c r="Z124" s="303"/>
      <c r="AA124" s="319"/>
      <c r="AB124" s="304"/>
      <c r="AC124" s="304"/>
      <c r="AD124" s="321"/>
      <c r="AE124" s="107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315"/>
      <c r="AQ124" s="315"/>
      <c r="AR124" s="315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315"/>
      <c r="BF124" s="315"/>
      <c r="BG124" s="315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315"/>
      <c r="BT124" s="315"/>
      <c r="BU124" s="315"/>
      <c r="BV124" s="20"/>
      <c r="BW124" s="20"/>
    </row>
    <row r="125" spans="1:77" x14ac:dyDescent="0.15">
      <c r="B125" s="104"/>
      <c r="C125" s="98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07"/>
      <c r="Z125" s="322"/>
      <c r="AA125" s="304"/>
      <c r="AB125" s="304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20"/>
      <c r="AQ125" s="20"/>
      <c r="AR125" s="20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</row>
    <row r="126" spans="1:77" ht="16.5" customHeight="1" x14ac:dyDescent="0.15">
      <c r="B126" s="104"/>
      <c r="C126" s="98"/>
      <c r="D126" s="31"/>
      <c r="E126" s="31"/>
      <c r="F126" s="1181"/>
      <c r="G126" s="1181"/>
      <c r="H126" s="1181"/>
      <c r="I126" s="1181"/>
      <c r="J126" s="1181"/>
      <c r="K126" s="1181"/>
      <c r="L126" s="1181"/>
      <c r="M126" s="1181"/>
      <c r="N126" s="1181"/>
      <c r="O126" s="1181"/>
      <c r="P126" s="1181"/>
      <c r="Q126" s="1181"/>
      <c r="R126" s="1181"/>
      <c r="S126" s="1181"/>
      <c r="T126" s="1181"/>
      <c r="U126" s="1181"/>
      <c r="V126" s="1181"/>
      <c r="W126" s="1181"/>
      <c r="X126" s="31"/>
      <c r="Y126" s="96"/>
      <c r="Z126" s="96"/>
      <c r="AA126" s="96"/>
      <c r="AB126" s="96"/>
      <c r="AC126" s="96"/>
      <c r="AD126" s="96"/>
      <c r="AE126" s="1181"/>
      <c r="AF126" s="1181"/>
      <c r="AG126" s="1181"/>
      <c r="AH126" s="1181"/>
      <c r="AI126" s="1181"/>
      <c r="AJ126" s="1181"/>
      <c r="AK126" s="1181"/>
      <c r="AL126" s="1181"/>
      <c r="AM126" s="1181"/>
      <c r="AN126" s="1181"/>
      <c r="AO126" s="1181"/>
      <c r="AP126" s="1181"/>
      <c r="AQ126" s="1181"/>
      <c r="AR126" s="1181"/>
      <c r="AS126" s="96"/>
      <c r="AT126" s="1181"/>
      <c r="AU126" s="1181"/>
      <c r="AV126" s="1181"/>
      <c r="AW126" s="1181"/>
      <c r="AX126" s="1181"/>
      <c r="AY126" s="1181"/>
      <c r="AZ126" s="1181"/>
      <c r="BA126" s="1181"/>
      <c r="BB126" s="1181"/>
      <c r="BC126" s="1181"/>
      <c r="BD126" s="1181"/>
      <c r="BE126" s="1181"/>
      <c r="BF126" s="1181"/>
      <c r="BG126" s="1181"/>
      <c r="BH126" s="1181"/>
      <c r="BI126" s="1181"/>
      <c r="BJ126" s="1181"/>
      <c r="BK126" s="1181"/>
      <c r="BL126" s="1181"/>
      <c r="BM126" s="1181"/>
      <c r="BN126" s="1181"/>
      <c r="BO126" s="1181"/>
      <c r="BP126" s="1181"/>
      <c r="BQ126" s="1181"/>
      <c r="BR126" s="1181"/>
      <c r="BS126" s="1181"/>
      <c r="BT126" s="1181"/>
      <c r="BU126" s="1181"/>
    </row>
    <row r="127" spans="1:77" s="317" customFormat="1" x14ac:dyDescent="0.2">
      <c r="B127" s="296"/>
      <c r="C127" s="296"/>
      <c r="D127" s="296"/>
      <c r="E127" s="296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107"/>
      <c r="Y127" s="296"/>
      <c r="Z127" s="296"/>
      <c r="AA127" s="296"/>
      <c r="AB127" s="296"/>
      <c r="AC127" s="296"/>
      <c r="AD127" s="296"/>
      <c r="AE127" s="296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107"/>
      <c r="AT127" s="300"/>
      <c r="AU127" s="300"/>
      <c r="AV127" s="300"/>
      <c r="AW127" s="300"/>
      <c r="AX127" s="300"/>
      <c r="AY127" s="300"/>
      <c r="AZ127" s="300"/>
      <c r="BA127" s="300"/>
      <c r="BB127" s="300"/>
      <c r="BC127" s="300"/>
      <c r="BD127" s="300"/>
      <c r="BE127" s="300"/>
      <c r="BF127" s="300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300"/>
      <c r="BU127" s="300"/>
    </row>
    <row r="128" spans="1:77" s="73" customFormat="1" ht="33" customHeight="1" x14ac:dyDescent="0.15">
      <c r="A128" s="20"/>
      <c r="B128" s="312"/>
      <c r="C128" s="303"/>
      <c r="D128" s="304"/>
      <c r="E128" s="319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88"/>
      <c r="Y128" s="320"/>
      <c r="Z128" s="303"/>
      <c r="AA128" s="319"/>
      <c r="AB128" s="304"/>
      <c r="AC128" s="304"/>
      <c r="AD128" s="321"/>
      <c r="AE128" s="321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X128" s="20"/>
      <c r="BY128" s="20"/>
    </row>
    <row r="129" spans="1:73" s="73" customFormat="1" ht="35.25" customHeight="1" x14ac:dyDescent="0.15">
      <c r="A129" s="20"/>
      <c r="B129" s="312"/>
      <c r="C129" s="303"/>
      <c r="D129" s="304"/>
      <c r="E129" s="319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88"/>
      <c r="Y129" s="320"/>
      <c r="Z129" s="303"/>
      <c r="AA129" s="319"/>
      <c r="AB129" s="304"/>
      <c r="AC129" s="304"/>
      <c r="AD129" s="321"/>
      <c r="AE129" s="321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</row>
    <row r="130" spans="1:73" s="73" customFormat="1" ht="35.25" customHeight="1" x14ac:dyDescent="0.15">
      <c r="A130" s="20"/>
      <c r="B130" s="312"/>
      <c r="C130" s="303"/>
      <c r="D130" s="304"/>
      <c r="E130" s="319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88"/>
      <c r="Y130" s="320"/>
      <c r="Z130" s="303"/>
      <c r="AA130" s="319"/>
      <c r="AB130" s="304"/>
      <c r="AC130" s="304"/>
      <c r="AD130" s="321"/>
      <c r="AE130" s="321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</row>
    <row r="131" spans="1:73" s="73" customFormat="1" ht="35.25" customHeight="1" x14ac:dyDescent="0.15">
      <c r="A131" s="20"/>
      <c r="B131" s="312"/>
      <c r="C131" s="303"/>
      <c r="D131" s="304"/>
      <c r="E131" s="319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88"/>
      <c r="Y131" s="320"/>
      <c r="Z131" s="303"/>
      <c r="AA131" s="319"/>
      <c r="AB131" s="304"/>
      <c r="AC131" s="304"/>
      <c r="AD131" s="321"/>
      <c r="AE131" s="321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</row>
    <row r="132" spans="1:73" s="73" customFormat="1" ht="35.25" customHeight="1" x14ac:dyDescent="0.15">
      <c r="A132" s="20"/>
      <c r="B132" s="312"/>
      <c r="C132" s="303"/>
      <c r="D132" s="304"/>
      <c r="E132" s="319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88"/>
      <c r="Y132" s="320"/>
      <c r="Z132" s="303"/>
      <c r="AA132" s="319"/>
      <c r="AB132" s="304"/>
      <c r="AC132" s="304"/>
      <c r="AD132" s="321"/>
      <c r="AE132" s="321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</row>
    <row r="133" spans="1:73" s="73" customFormat="1" ht="35.25" customHeight="1" x14ac:dyDescent="0.15">
      <c r="A133" s="20"/>
      <c r="B133" s="312"/>
      <c r="C133" s="303"/>
      <c r="D133" s="304"/>
      <c r="E133" s="319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88"/>
      <c r="Y133" s="320"/>
      <c r="Z133" s="303"/>
      <c r="AA133" s="319"/>
      <c r="AB133" s="304"/>
      <c r="AC133" s="304"/>
      <c r="AD133" s="321"/>
      <c r="AE133" s="321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</row>
    <row r="134" spans="1:73" s="73" customFormat="1" ht="35.25" customHeight="1" x14ac:dyDescent="0.15">
      <c r="A134" s="20"/>
      <c r="B134" s="312"/>
      <c r="C134" s="303"/>
      <c r="D134" s="304"/>
      <c r="E134" s="319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88"/>
      <c r="Y134" s="320"/>
      <c r="Z134" s="303"/>
      <c r="AA134" s="319"/>
      <c r="AB134" s="304"/>
      <c r="AC134" s="304"/>
      <c r="AD134" s="321"/>
      <c r="AE134" s="321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</row>
    <row r="135" spans="1:73" s="73" customFormat="1" ht="35.25" customHeight="1" x14ac:dyDescent="0.15">
      <c r="A135" s="20"/>
      <c r="B135" s="312"/>
      <c r="C135" s="303"/>
      <c r="D135" s="304"/>
      <c r="E135" s="319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88"/>
      <c r="Y135" s="320"/>
      <c r="Z135" s="303"/>
      <c r="AA135" s="319"/>
      <c r="AB135" s="304"/>
      <c r="AC135" s="304"/>
      <c r="AD135" s="321"/>
      <c r="AE135" s="321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</row>
    <row r="136" spans="1:73" s="73" customFormat="1" ht="35.25" customHeight="1" x14ac:dyDescent="0.15">
      <c r="A136" s="20"/>
      <c r="B136" s="312"/>
      <c r="C136" s="303"/>
      <c r="D136" s="304"/>
      <c r="E136" s="319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88"/>
      <c r="Y136" s="320"/>
      <c r="Z136" s="303"/>
      <c r="AA136" s="319"/>
      <c r="AB136" s="304"/>
      <c r="AC136" s="304"/>
      <c r="AD136" s="321"/>
      <c r="AE136" s="321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</row>
    <row r="137" spans="1:73" s="73" customFormat="1" ht="35.25" customHeight="1" x14ac:dyDescent="0.15">
      <c r="A137" s="20"/>
      <c r="B137" s="312"/>
      <c r="C137" s="303"/>
      <c r="D137" s="304"/>
      <c r="E137" s="319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88"/>
      <c r="Y137" s="320"/>
      <c r="Z137" s="303"/>
      <c r="AA137" s="319"/>
      <c r="AB137" s="304"/>
      <c r="AC137" s="304"/>
      <c r="AD137" s="321"/>
      <c r="AE137" s="321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</row>
    <row r="138" spans="1:73" s="73" customFormat="1" ht="35.25" customHeight="1" x14ac:dyDescent="0.15">
      <c r="A138" s="20"/>
      <c r="B138" s="312"/>
      <c r="C138" s="303"/>
      <c r="D138" s="304"/>
      <c r="E138" s="319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88"/>
      <c r="Y138" s="320"/>
      <c r="Z138" s="303"/>
      <c r="AA138" s="319"/>
      <c r="AB138" s="304"/>
      <c r="AC138" s="304"/>
      <c r="AD138" s="321"/>
      <c r="AE138" s="321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</row>
    <row r="139" spans="1:73" s="73" customFormat="1" ht="35.25" customHeight="1" x14ac:dyDescent="0.15">
      <c r="A139" s="20"/>
      <c r="B139" s="312"/>
      <c r="C139" s="303"/>
      <c r="D139" s="304"/>
      <c r="E139" s="319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88"/>
      <c r="Y139" s="320"/>
      <c r="Z139" s="303"/>
      <c r="AA139" s="319"/>
      <c r="AB139" s="304"/>
      <c r="AC139" s="304"/>
      <c r="AD139" s="321"/>
      <c r="AE139" s="321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</row>
    <row r="140" spans="1:73" s="73" customFormat="1" ht="35.25" customHeight="1" x14ac:dyDescent="0.15">
      <c r="A140" s="20"/>
      <c r="B140" s="312"/>
      <c r="C140" s="303"/>
      <c r="D140" s="304"/>
      <c r="E140" s="319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88"/>
      <c r="Y140" s="320"/>
      <c r="Z140" s="303"/>
      <c r="AA140" s="319"/>
      <c r="AB140" s="304"/>
      <c r="AC140" s="304"/>
      <c r="AD140" s="321"/>
      <c r="AE140" s="321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</row>
    <row r="141" spans="1:73" s="73" customFormat="1" ht="35.25" customHeight="1" x14ac:dyDescent="0.15">
      <c r="B141" s="312"/>
      <c r="C141" s="303"/>
      <c r="D141" s="304"/>
      <c r="E141" s="319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88"/>
      <c r="Y141" s="320"/>
      <c r="Z141" s="303"/>
      <c r="AA141" s="319"/>
      <c r="AB141" s="304"/>
      <c r="AC141" s="304"/>
      <c r="AD141" s="321"/>
      <c r="AE141" s="321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</row>
    <row r="142" spans="1:73" s="73" customFormat="1" ht="35.25" customHeight="1" x14ac:dyDescent="0.15">
      <c r="B142" s="312"/>
      <c r="C142" s="303"/>
      <c r="D142" s="304"/>
      <c r="E142" s="319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88"/>
      <c r="Y142" s="320"/>
      <c r="Z142" s="303"/>
      <c r="AA142" s="319"/>
      <c r="AB142" s="304"/>
      <c r="AC142" s="304"/>
      <c r="AD142" s="321"/>
      <c r="AE142" s="321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</row>
    <row r="143" spans="1:73" s="73" customFormat="1" x14ac:dyDescent="0.15">
      <c r="B143" s="312"/>
      <c r="C143" s="303"/>
      <c r="D143" s="304"/>
      <c r="E143" s="319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88"/>
      <c r="Y143" s="320"/>
      <c r="Z143" s="303"/>
      <c r="AA143" s="319"/>
      <c r="AB143" s="304"/>
      <c r="AC143" s="304"/>
      <c r="AD143" s="321"/>
      <c r="AE143" s="107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</row>
    <row r="144" spans="1:73" x14ac:dyDescent="0.15">
      <c r="B144" s="104"/>
      <c r="C144" s="98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88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299"/>
      <c r="AQ144" s="299"/>
      <c r="AR144" s="299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299"/>
      <c r="BF144" s="299"/>
      <c r="BG144" s="299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299"/>
      <c r="BT144" s="299"/>
      <c r="BU144" s="299"/>
    </row>
    <row r="145" spans="2:73" x14ac:dyDescent="0.15">
      <c r="B145" s="104"/>
      <c r="C145" s="98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315"/>
      <c r="AQ145" s="315"/>
      <c r="AR145" s="315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315"/>
      <c r="BF145" s="315"/>
      <c r="BG145" s="315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315"/>
      <c r="BT145" s="315"/>
      <c r="BU145" s="315"/>
    </row>
    <row r="148" spans="2:73" x14ac:dyDescent="0.15">
      <c r="B148" s="20"/>
      <c r="C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2:73" x14ac:dyDescent="0.15">
      <c r="B149" s="20"/>
      <c r="C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2:73" x14ac:dyDescent="0.15">
      <c r="B150" s="20"/>
      <c r="C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2:73" x14ac:dyDescent="0.15">
      <c r="B151" s="20"/>
      <c r="C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2:73" x14ac:dyDescent="0.15">
      <c r="B152" s="20"/>
      <c r="C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2:73" x14ac:dyDescent="0.15">
      <c r="B153" s="20"/>
      <c r="C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2:73" x14ac:dyDescent="0.15">
      <c r="B154" s="20"/>
      <c r="C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2:73" x14ac:dyDescent="0.15">
      <c r="B155" s="20"/>
      <c r="C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2:73" x14ac:dyDescent="0.15">
      <c r="B156" s="20"/>
      <c r="C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2:73" x14ac:dyDescent="0.15">
      <c r="B157" s="20"/>
      <c r="C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2:73" x14ac:dyDescent="0.15">
      <c r="B158" s="20"/>
      <c r="C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2:73" x14ac:dyDescent="0.15">
      <c r="B159" s="20"/>
      <c r="C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2:73" x14ac:dyDescent="0.15">
      <c r="B160" s="20"/>
      <c r="C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52:73" s="20" customFormat="1" x14ac:dyDescent="0.15"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</row>
    <row r="162" spans="52:73" s="20" customFormat="1" x14ac:dyDescent="0.15"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</row>
    <row r="163" spans="52:73" s="20" customFormat="1" x14ac:dyDescent="0.15"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</row>
    <row r="164" spans="52:73" s="20" customFormat="1" x14ac:dyDescent="0.15"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</row>
    <row r="165" spans="52:73" s="20" customFormat="1" x14ac:dyDescent="0.15"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</row>
    <row r="166" spans="52:73" s="20" customFormat="1" x14ac:dyDescent="0.15"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</row>
    <row r="167" spans="52:73" s="20" customFormat="1" x14ac:dyDescent="0.15"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</row>
    <row r="168" spans="52:73" s="20" customFormat="1" x14ac:dyDescent="0.15"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</row>
    <row r="169" spans="52:73" s="20" customFormat="1" x14ac:dyDescent="0.15"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</row>
    <row r="170" spans="52:73" s="20" customFormat="1" x14ac:dyDescent="0.15"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</row>
    <row r="171" spans="52:73" s="20" customFormat="1" x14ac:dyDescent="0.15"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</row>
    <row r="172" spans="52:73" s="20" customFormat="1" x14ac:dyDescent="0.15"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</row>
    <row r="173" spans="52:73" s="20" customFormat="1" x14ac:dyDescent="0.15"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</row>
    <row r="174" spans="52:73" s="20" customFormat="1" x14ac:dyDescent="0.15"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</row>
    <row r="175" spans="52:73" s="20" customFormat="1" x14ac:dyDescent="0.15"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</row>
    <row r="176" spans="52:73" s="20" customFormat="1" x14ac:dyDescent="0.15"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</row>
    <row r="177" spans="52:73" s="20" customFormat="1" x14ac:dyDescent="0.15"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</row>
    <row r="178" spans="52:73" s="20" customFormat="1" x14ac:dyDescent="0.15"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</row>
    <row r="179" spans="52:73" s="20" customFormat="1" x14ac:dyDescent="0.15"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</row>
    <row r="180" spans="52:73" s="20" customFormat="1" x14ac:dyDescent="0.15"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</row>
    <row r="181" spans="52:73" s="20" customFormat="1" x14ac:dyDescent="0.15"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</row>
    <row r="182" spans="52:73" s="20" customFormat="1" x14ac:dyDescent="0.15"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</row>
    <row r="183" spans="52:73" s="20" customFormat="1" x14ac:dyDescent="0.15"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</row>
    <row r="184" spans="52:73" s="20" customFormat="1" x14ac:dyDescent="0.15"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</row>
    <row r="185" spans="52:73" s="20" customFormat="1" x14ac:dyDescent="0.15"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</row>
    <row r="186" spans="52:73" s="20" customFormat="1" x14ac:dyDescent="0.15"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</row>
    <row r="187" spans="52:73" s="20" customFormat="1" x14ac:dyDescent="0.15"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</row>
    <row r="188" spans="52:73" s="20" customFormat="1" x14ac:dyDescent="0.15"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</row>
    <row r="189" spans="52:73" s="20" customFormat="1" x14ac:dyDescent="0.15"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</row>
    <row r="190" spans="52:73" s="20" customFormat="1" x14ac:dyDescent="0.15"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</row>
    <row r="191" spans="52:73" s="20" customFormat="1" x14ac:dyDescent="0.15"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</row>
    <row r="192" spans="52:73" s="20" customFormat="1" x14ac:dyDescent="0.15"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</row>
    <row r="193" spans="2:51" x14ac:dyDescent="0.15">
      <c r="B193" s="20"/>
      <c r="C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2:51" x14ac:dyDescent="0.15">
      <c r="B194" s="20"/>
      <c r="C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2:51" x14ac:dyDescent="0.15">
      <c r="B195" s="20"/>
      <c r="C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2:51" x14ac:dyDescent="0.15">
      <c r="B196" s="20"/>
      <c r="C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2:51" x14ac:dyDescent="0.15">
      <c r="B197" s="20"/>
      <c r="C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2:51" x14ac:dyDescent="0.15">
      <c r="B198" s="20"/>
      <c r="C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2:51" x14ac:dyDescent="0.15">
      <c r="B199" s="20"/>
      <c r="C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2:51" x14ac:dyDescent="0.15">
      <c r="B200" s="20"/>
      <c r="C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2:51" x14ac:dyDescent="0.15">
      <c r="B201" s="20"/>
      <c r="C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2:51" x14ac:dyDescent="0.15">
      <c r="B202" s="20"/>
      <c r="C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2:51" x14ac:dyDescent="0.15">
      <c r="B203" s="20"/>
      <c r="C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2:51" x14ac:dyDescent="0.15">
      <c r="B204" s="20"/>
      <c r="C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</row>
    <row r="205" spans="2:51" x14ac:dyDescent="0.15">
      <c r="B205" s="20"/>
      <c r="C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</row>
    <row r="206" spans="2:51" x14ac:dyDescent="0.15">
      <c r="B206" s="20"/>
      <c r="C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</row>
    <row r="207" spans="2:51" x14ac:dyDescent="0.15">
      <c r="B207" s="20"/>
      <c r="C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</row>
    <row r="208" spans="2:51" x14ac:dyDescent="0.15">
      <c r="B208" s="20"/>
      <c r="C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</row>
    <row r="209" spans="2:51" x14ac:dyDescent="0.15">
      <c r="B209" s="20"/>
      <c r="C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</row>
    <row r="210" spans="2:51" x14ac:dyDescent="0.15">
      <c r="B210" s="20"/>
      <c r="C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</row>
    <row r="211" spans="2:51" x14ac:dyDescent="0.15">
      <c r="B211" s="20"/>
      <c r="C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</row>
  </sheetData>
  <mergeCells count="23">
    <mergeCell ref="G12:L12"/>
    <mergeCell ref="M12:Z12"/>
    <mergeCell ref="AA12:AN12"/>
    <mergeCell ref="F89:J89"/>
    <mergeCell ref="K89:W89"/>
    <mergeCell ref="AF89:AR89"/>
    <mergeCell ref="AT89:BG89"/>
    <mergeCell ref="BH89:BU89"/>
    <mergeCell ref="F74:J74"/>
    <mergeCell ref="K74:W74"/>
    <mergeCell ref="AF74:AR74"/>
    <mergeCell ref="AT74:BG74"/>
    <mergeCell ref="BH74:BU74"/>
    <mergeCell ref="BH106:BU106"/>
    <mergeCell ref="F126:J126"/>
    <mergeCell ref="K126:W126"/>
    <mergeCell ref="AT126:BG126"/>
    <mergeCell ref="BH126:BU126"/>
    <mergeCell ref="AE126:AR126"/>
    <mergeCell ref="F106:J106"/>
    <mergeCell ref="K106:W106"/>
    <mergeCell ref="AF106:AR106"/>
    <mergeCell ref="AT106:BG106"/>
  </mergeCells>
  <conditionalFormatting sqref="B14:B71">
    <cfRule type="duplicateValues" dxfId="1" priority="2"/>
  </conditionalFormatting>
  <conditionalFormatting sqref="B144:B145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75"/>
  <sheetViews>
    <sheetView zoomScale="70" zoomScaleNormal="70" workbookViewId="0">
      <selection activeCell="L5" sqref="L5"/>
    </sheetView>
  </sheetViews>
  <sheetFormatPr baseColWidth="10" defaultRowHeight="15" x14ac:dyDescent="0.2"/>
  <cols>
    <col min="1" max="1" width="3.33203125" customWidth="1"/>
    <col min="2" max="2" width="12.1640625" customWidth="1"/>
    <col min="3" max="3" width="22.1640625" customWidth="1"/>
    <col min="4" max="4" width="7.5" bestFit="1" customWidth="1"/>
    <col min="5" max="5" width="6.5" bestFit="1" customWidth="1"/>
    <col min="6" max="14" width="4.83203125" bestFit="1" customWidth="1"/>
    <col min="15" max="22" width="6" bestFit="1" customWidth="1"/>
    <col min="23" max="31" width="4.5" bestFit="1" customWidth="1"/>
    <col min="32" max="32" width="5.6640625" bestFit="1" customWidth="1"/>
    <col min="34" max="34" width="13.1640625" customWidth="1"/>
    <col min="35" max="35" width="19.1640625" customWidth="1"/>
    <col min="36" max="36" width="6.5" bestFit="1" customWidth="1"/>
    <col min="37" max="37" width="9.83203125" bestFit="1" customWidth="1"/>
    <col min="38" max="38" width="7.5" bestFit="1" customWidth="1"/>
    <col min="39" max="39" width="8.1640625" bestFit="1" customWidth="1"/>
    <col min="40" max="40" width="13.33203125" bestFit="1" customWidth="1"/>
    <col min="41" max="49" width="4.5" bestFit="1" customWidth="1"/>
    <col min="50" max="51" width="5.6640625" bestFit="1" customWidth="1"/>
    <col min="54" max="54" width="9.33203125" bestFit="1" customWidth="1"/>
  </cols>
  <sheetData>
    <row r="1" spans="2:76" s="20" customFormat="1" ht="13" x14ac:dyDescent="0.15">
      <c r="B1" s="102"/>
      <c r="C1" s="97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</row>
    <row r="2" spans="2:76" s="20" customFormat="1" ht="13" x14ac:dyDescent="0.15">
      <c r="B2" s="102"/>
      <c r="C2" s="97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</row>
    <row r="3" spans="2:76" s="20" customFormat="1" ht="13" x14ac:dyDescent="0.15">
      <c r="B3" s="102"/>
      <c r="C3" s="97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</row>
    <row r="4" spans="2:76" s="20" customFormat="1" ht="13" x14ac:dyDescent="0.15">
      <c r="B4" s="102"/>
      <c r="C4" s="97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</row>
    <row r="5" spans="2:76" s="20" customFormat="1" ht="13" x14ac:dyDescent="0.15">
      <c r="B5" s="102"/>
      <c r="C5" s="97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</row>
    <row r="6" spans="2:76" s="20" customFormat="1" ht="13" x14ac:dyDescent="0.15">
      <c r="B6" s="102"/>
      <c r="C6" s="97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</row>
    <row r="7" spans="2:76" s="20" customFormat="1" ht="18" x14ac:dyDescent="0.15">
      <c r="B7" s="103" t="s">
        <v>0</v>
      </c>
      <c r="C7" s="97"/>
      <c r="I7" s="293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</row>
    <row r="8" spans="2:76" s="20" customFormat="1" ht="18" x14ac:dyDescent="0.15">
      <c r="B8" s="103"/>
      <c r="C8" s="97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</row>
    <row r="9" spans="2:76" s="20" customFormat="1" ht="18" x14ac:dyDescent="0.15">
      <c r="B9" s="103"/>
      <c r="C9" s="97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</row>
    <row r="10" spans="2:76" s="20" customFormat="1" ht="13" x14ac:dyDescent="0.15">
      <c r="B10" s="101" t="s">
        <v>670</v>
      </c>
      <c r="C10" s="97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</row>
    <row r="11" spans="2:76" ht="16" thickBot="1" x14ac:dyDescent="0.25">
      <c r="B11" s="105"/>
      <c r="C11" s="98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</row>
    <row r="12" spans="2:76" ht="16" thickBot="1" x14ac:dyDescent="0.25">
      <c r="B12" s="126"/>
      <c r="C12" s="126"/>
      <c r="D12" s="126"/>
      <c r="E12" s="126"/>
      <c r="F12" s="1185" t="s">
        <v>671</v>
      </c>
      <c r="G12" s="1186"/>
      <c r="H12" s="1186"/>
      <c r="I12" s="1186"/>
      <c r="J12" s="1186"/>
      <c r="K12" s="1186"/>
      <c r="L12" s="1186"/>
      <c r="M12" s="1186"/>
      <c r="N12" s="1186"/>
      <c r="O12" s="1186"/>
      <c r="P12" s="1186"/>
      <c r="Q12" s="1186"/>
      <c r="R12" s="1186"/>
      <c r="S12" s="1186"/>
      <c r="T12" s="1186"/>
      <c r="U12" s="1186"/>
      <c r="V12" s="1187"/>
      <c r="W12" s="1185" t="s">
        <v>672</v>
      </c>
      <c r="X12" s="1186"/>
      <c r="Y12" s="1186"/>
      <c r="Z12" s="1186"/>
      <c r="AA12" s="1186"/>
      <c r="AB12" s="1186"/>
      <c r="AC12" s="1186"/>
      <c r="AD12" s="1186"/>
      <c r="AE12" s="1186"/>
      <c r="AF12" s="1187"/>
      <c r="AG12" s="126"/>
      <c r="AH12" s="126"/>
      <c r="AI12" s="126"/>
      <c r="AJ12" s="126"/>
      <c r="AK12" s="126"/>
      <c r="AL12" s="126"/>
      <c r="AM12" s="126"/>
      <c r="AN12" s="126"/>
      <c r="AO12" s="1185" t="s">
        <v>753</v>
      </c>
      <c r="AP12" s="1186"/>
      <c r="AQ12" s="1186"/>
      <c r="AR12" s="1186"/>
      <c r="AS12" s="1186"/>
      <c r="AT12" s="1186"/>
      <c r="AU12" s="1186"/>
      <c r="AV12" s="1186"/>
      <c r="AW12" s="1186"/>
      <c r="AX12" s="1186"/>
      <c r="AY12" s="1186"/>
      <c r="AZ12" s="1186"/>
      <c r="BA12" s="1186"/>
      <c r="BB12" s="1187"/>
    </row>
    <row r="13" spans="2:76" s="153" customFormat="1" ht="49" thickBot="1" x14ac:dyDescent="0.25">
      <c r="B13" s="100" t="s">
        <v>674</v>
      </c>
      <c r="C13" s="100" t="s">
        <v>250</v>
      </c>
      <c r="D13" s="100" t="s">
        <v>752</v>
      </c>
      <c r="E13" s="100" t="s">
        <v>251</v>
      </c>
      <c r="F13" s="154" t="s">
        <v>677</v>
      </c>
      <c r="G13" s="154" t="s">
        <v>678</v>
      </c>
      <c r="H13" s="154" t="s">
        <v>679</v>
      </c>
      <c r="I13" s="154" t="s">
        <v>680</v>
      </c>
      <c r="J13" s="154" t="s">
        <v>681</v>
      </c>
      <c r="K13" s="154" t="s">
        <v>682</v>
      </c>
      <c r="L13" s="154" t="s">
        <v>754</v>
      </c>
      <c r="M13" s="154" t="s">
        <v>755</v>
      </c>
      <c r="N13" s="154" t="s">
        <v>756</v>
      </c>
      <c r="O13" s="154" t="s">
        <v>757</v>
      </c>
      <c r="P13" s="154" t="s">
        <v>758</v>
      </c>
      <c r="Q13" s="154" t="s">
        <v>759</v>
      </c>
      <c r="R13" s="154" t="s">
        <v>760</v>
      </c>
      <c r="S13" s="154" t="s">
        <v>761</v>
      </c>
      <c r="T13" s="154" t="s">
        <v>762</v>
      </c>
      <c r="U13" s="154" t="s">
        <v>763</v>
      </c>
      <c r="V13" s="154" t="s">
        <v>764</v>
      </c>
      <c r="W13" s="154" t="s">
        <v>683</v>
      </c>
      <c r="X13" s="154" t="s">
        <v>684</v>
      </c>
      <c r="Y13" s="154" t="s">
        <v>685</v>
      </c>
      <c r="Z13" s="154" t="s">
        <v>686</v>
      </c>
      <c r="AA13" s="154" t="s">
        <v>687</v>
      </c>
      <c r="AB13" s="154" t="s">
        <v>688</v>
      </c>
      <c r="AC13" s="154" t="s">
        <v>689</v>
      </c>
      <c r="AD13" s="154" t="s">
        <v>690</v>
      </c>
      <c r="AE13" s="154" t="s">
        <v>691</v>
      </c>
      <c r="AF13" s="155" t="s">
        <v>692</v>
      </c>
      <c r="AG13" s="64"/>
      <c r="AH13" s="99" t="s">
        <v>674</v>
      </c>
      <c r="AI13" s="99" t="s">
        <v>250</v>
      </c>
      <c r="AJ13" s="99" t="s">
        <v>251</v>
      </c>
      <c r="AK13" s="99" t="s">
        <v>252</v>
      </c>
      <c r="AL13" s="99" t="s">
        <v>752</v>
      </c>
      <c r="AM13" s="99" t="s">
        <v>697</v>
      </c>
      <c r="AN13" s="152" t="s">
        <v>698</v>
      </c>
      <c r="AO13" s="154" t="s">
        <v>699</v>
      </c>
      <c r="AP13" s="154" t="s">
        <v>700</v>
      </c>
      <c r="AQ13" s="154" t="s">
        <v>701</v>
      </c>
      <c r="AR13" s="154" t="s">
        <v>702</v>
      </c>
      <c r="AS13" s="154" t="s">
        <v>703</v>
      </c>
      <c r="AT13" s="154" t="s">
        <v>704</v>
      </c>
      <c r="AU13" s="154" t="s">
        <v>705</v>
      </c>
      <c r="AV13" s="154" t="s">
        <v>706</v>
      </c>
      <c r="AW13" s="154" t="s">
        <v>707</v>
      </c>
      <c r="AX13" s="154" t="s">
        <v>708</v>
      </c>
      <c r="AY13" s="155" t="s">
        <v>709</v>
      </c>
      <c r="AZ13" s="108" t="s">
        <v>710</v>
      </c>
      <c r="BA13" s="108" t="s">
        <v>711</v>
      </c>
      <c r="BB13" s="108" t="s">
        <v>712</v>
      </c>
    </row>
    <row r="14" spans="2:76" ht="37" x14ac:dyDescent="0.2">
      <c r="B14" s="109" t="s">
        <v>765</v>
      </c>
      <c r="C14" s="110" t="s">
        <v>474</v>
      </c>
      <c r="D14" s="76">
        <v>6</v>
      </c>
      <c r="E14" s="129" t="s">
        <v>713</v>
      </c>
      <c r="F14" s="130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 t="s">
        <v>23</v>
      </c>
      <c r="R14" s="131"/>
      <c r="S14" s="131" t="s">
        <v>23</v>
      </c>
      <c r="T14" s="131" t="s">
        <v>23</v>
      </c>
      <c r="U14" s="131" t="s">
        <v>23</v>
      </c>
      <c r="V14" s="132"/>
      <c r="W14" s="130"/>
      <c r="X14" s="131"/>
      <c r="Y14" s="131"/>
      <c r="Z14" s="131"/>
      <c r="AA14" s="131"/>
      <c r="AB14" s="131" t="s">
        <v>23</v>
      </c>
      <c r="AC14" s="131"/>
      <c r="AD14" s="131"/>
      <c r="AE14" s="131"/>
      <c r="AF14" s="132"/>
      <c r="AG14" s="126"/>
      <c r="AH14" s="109">
        <v>37214001</v>
      </c>
      <c r="AI14" s="110" t="s">
        <v>474</v>
      </c>
      <c r="AJ14" s="111" t="s">
        <v>713</v>
      </c>
      <c r="AK14" s="112" t="s">
        <v>261</v>
      </c>
      <c r="AL14" s="76">
        <v>6</v>
      </c>
      <c r="AM14" s="113" t="s">
        <v>732</v>
      </c>
      <c r="AN14" s="113"/>
      <c r="AO14" s="133"/>
      <c r="AP14" s="134"/>
      <c r="AQ14" s="134"/>
      <c r="AR14" s="134"/>
      <c r="AS14" s="134"/>
      <c r="AT14" s="134"/>
      <c r="AU14" s="134">
        <v>24</v>
      </c>
      <c r="AV14" s="134"/>
      <c r="AW14" s="134"/>
      <c r="AX14" s="134">
        <v>30</v>
      </c>
      <c r="AY14" s="135">
        <v>96</v>
      </c>
      <c r="AZ14" s="133">
        <v>60</v>
      </c>
      <c r="BA14" s="135">
        <v>90</v>
      </c>
      <c r="BB14" s="136">
        <v>150</v>
      </c>
    </row>
    <row r="15" spans="2:76" ht="36" x14ac:dyDescent="0.2">
      <c r="B15" s="114" t="s">
        <v>766</v>
      </c>
      <c r="C15" s="115" t="s">
        <v>477</v>
      </c>
      <c r="D15" s="81">
        <v>6</v>
      </c>
      <c r="E15" s="129" t="s">
        <v>713</v>
      </c>
      <c r="F15" s="137"/>
      <c r="G15" s="129"/>
      <c r="H15" s="129"/>
      <c r="I15" s="129"/>
      <c r="J15" s="129"/>
      <c r="K15" s="129"/>
      <c r="L15" s="129" t="s">
        <v>23</v>
      </c>
      <c r="M15" s="129"/>
      <c r="N15" s="129"/>
      <c r="O15" s="129"/>
      <c r="P15" s="129"/>
      <c r="Q15" s="129" t="s">
        <v>23</v>
      </c>
      <c r="R15" s="129"/>
      <c r="S15" s="129"/>
      <c r="T15" s="129" t="s">
        <v>23</v>
      </c>
      <c r="U15" s="129" t="s">
        <v>23</v>
      </c>
      <c r="V15" s="138" t="s">
        <v>23</v>
      </c>
      <c r="W15" s="137"/>
      <c r="X15" s="129"/>
      <c r="Y15" s="129" t="s">
        <v>23</v>
      </c>
      <c r="Z15" s="129"/>
      <c r="AA15" s="129" t="s">
        <v>23</v>
      </c>
      <c r="AB15" s="129"/>
      <c r="AC15" s="129" t="s">
        <v>23</v>
      </c>
      <c r="AD15" s="129"/>
      <c r="AE15" s="129"/>
      <c r="AF15" s="138"/>
      <c r="AG15" s="126"/>
      <c r="AH15" s="114">
        <v>37214006</v>
      </c>
      <c r="AI15" s="116" t="s">
        <v>477</v>
      </c>
      <c r="AJ15" s="79" t="s">
        <v>713</v>
      </c>
      <c r="AK15" s="112" t="s">
        <v>261</v>
      </c>
      <c r="AL15" s="81">
        <v>6</v>
      </c>
      <c r="AM15" s="81" t="s">
        <v>732</v>
      </c>
      <c r="AN15" s="81"/>
      <c r="AO15" s="139"/>
      <c r="AP15" s="136"/>
      <c r="AQ15" s="136"/>
      <c r="AR15" s="136"/>
      <c r="AS15" s="136"/>
      <c r="AT15" s="136"/>
      <c r="AU15" s="136">
        <v>32</v>
      </c>
      <c r="AV15" s="136"/>
      <c r="AW15" s="136"/>
      <c r="AX15" s="136">
        <v>48</v>
      </c>
      <c r="AY15" s="140">
        <v>70</v>
      </c>
      <c r="AZ15" s="139">
        <v>60</v>
      </c>
      <c r="BA15" s="140">
        <v>90</v>
      </c>
      <c r="BB15" s="136">
        <v>150</v>
      </c>
    </row>
    <row r="16" spans="2:76" ht="25" x14ac:dyDescent="0.2">
      <c r="B16" s="114" t="s">
        <v>767</v>
      </c>
      <c r="C16" s="115" t="s">
        <v>285</v>
      </c>
      <c r="D16" s="81">
        <v>6</v>
      </c>
      <c r="E16" s="129" t="s">
        <v>713</v>
      </c>
      <c r="F16" s="137"/>
      <c r="G16" s="129"/>
      <c r="H16" s="129"/>
      <c r="I16" s="129" t="s">
        <v>23</v>
      </c>
      <c r="J16" s="129"/>
      <c r="K16" s="129"/>
      <c r="L16" s="129"/>
      <c r="M16" s="129"/>
      <c r="N16" s="129"/>
      <c r="O16" s="129"/>
      <c r="P16" s="129"/>
      <c r="Q16" s="129" t="s">
        <v>23</v>
      </c>
      <c r="R16" s="129"/>
      <c r="S16" s="129" t="s">
        <v>23</v>
      </c>
      <c r="T16" s="129" t="s">
        <v>23</v>
      </c>
      <c r="U16" s="129" t="s">
        <v>23</v>
      </c>
      <c r="V16" s="138"/>
      <c r="W16" s="137"/>
      <c r="X16" s="129"/>
      <c r="Y16" s="129"/>
      <c r="Z16" s="129"/>
      <c r="AA16" s="129" t="s">
        <v>23</v>
      </c>
      <c r="AB16" s="129"/>
      <c r="AC16" s="129" t="s">
        <v>23</v>
      </c>
      <c r="AD16" s="129" t="s">
        <v>23</v>
      </c>
      <c r="AE16" s="129"/>
      <c r="AF16" s="138" t="s">
        <v>23</v>
      </c>
      <c r="AG16" s="126"/>
      <c r="AH16" s="114">
        <v>37214102</v>
      </c>
      <c r="AI16" s="115" t="s">
        <v>285</v>
      </c>
      <c r="AJ16" s="79" t="s">
        <v>713</v>
      </c>
      <c r="AK16" s="80" t="s">
        <v>284</v>
      </c>
      <c r="AL16" s="81">
        <v>6</v>
      </c>
      <c r="AM16" s="81" t="s">
        <v>732</v>
      </c>
      <c r="AN16" s="81"/>
      <c r="AO16" s="139"/>
      <c r="AP16" s="136"/>
      <c r="AQ16" s="136"/>
      <c r="AR16" s="136">
        <v>70</v>
      </c>
      <c r="AS16" s="136"/>
      <c r="AT16" s="136">
        <v>26</v>
      </c>
      <c r="AU16" s="136">
        <v>9</v>
      </c>
      <c r="AV16" s="136"/>
      <c r="AW16" s="136"/>
      <c r="AX16" s="136">
        <v>18</v>
      </c>
      <c r="AY16" s="140">
        <v>27</v>
      </c>
      <c r="AZ16" s="139">
        <v>60</v>
      </c>
      <c r="BA16" s="140">
        <v>90</v>
      </c>
      <c r="BB16" s="136">
        <v>150</v>
      </c>
    </row>
    <row r="17" spans="1:54" x14ac:dyDescent="0.2">
      <c r="B17" s="114" t="s">
        <v>768</v>
      </c>
      <c r="C17" s="115" t="s">
        <v>478</v>
      </c>
      <c r="D17" s="81">
        <v>12</v>
      </c>
      <c r="E17" s="129" t="s">
        <v>713</v>
      </c>
      <c r="F17" s="137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8"/>
      <c r="W17" s="137"/>
      <c r="X17" s="129"/>
      <c r="Y17" s="129"/>
      <c r="Z17" s="129"/>
      <c r="AA17" s="129"/>
      <c r="AB17" s="129"/>
      <c r="AC17" s="129"/>
      <c r="AD17" s="129"/>
      <c r="AE17" s="129"/>
      <c r="AF17" s="138"/>
      <c r="AG17" s="126"/>
      <c r="AH17" s="114">
        <v>37214106</v>
      </c>
      <c r="AI17" s="115" t="s">
        <v>478</v>
      </c>
      <c r="AJ17" s="79" t="s">
        <v>713</v>
      </c>
      <c r="AK17" s="80" t="s">
        <v>284</v>
      </c>
      <c r="AL17" s="81">
        <v>12</v>
      </c>
      <c r="AM17" s="81"/>
      <c r="AN17" s="81"/>
      <c r="AO17" s="139"/>
      <c r="AP17" s="136"/>
      <c r="AQ17" s="136"/>
      <c r="AR17" s="136"/>
      <c r="AS17" s="136"/>
      <c r="AT17" s="136"/>
      <c r="AU17" s="136"/>
      <c r="AV17" s="136"/>
      <c r="AW17" s="136"/>
      <c r="AX17" s="136"/>
      <c r="AY17" s="140"/>
      <c r="AZ17" s="139"/>
      <c r="BA17" s="140"/>
      <c r="BB17" s="136"/>
    </row>
    <row r="18" spans="1:54" x14ac:dyDescent="0.2">
      <c r="B18" s="114"/>
      <c r="C18" s="79" t="s">
        <v>977</v>
      </c>
      <c r="D18" s="81"/>
      <c r="E18" s="129" t="s">
        <v>713</v>
      </c>
      <c r="F18" s="137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 t="s">
        <v>23</v>
      </c>
      <c r="R18" s="129"/>
      <c r="S18" s="129" t="s">
        <v>23</v>
      </c>
      <c r="T18" s="129" t="s">
        <v>23</v>
      </c>
      <c r="U18" s="129" t="s">
        <v>23</v>
      </c>
      <c r="V18" s="138" t="s">
        <v>23</v>
      </c>
      <c r="W18" s="137"/>
      <c r="X18" s="129"/>
      <c r="Y18" s="129"/>
      <c r="Z18" s="129"/>
      <c r="AA18" s="129" t="s">
        <v>23</v>
      </c>
      <c r="AB18" s="129"/>
      <c r="AC18" s="129"/>
      <c r="AD18" s="129" t="s">
        <v>23</v>
      </c>
      <c r="AE18" s="129"/>
      <c r="AF18" s="138" t="s">
        <v>23</v>
      </c>
      <c r="AG18" s="126"/>
      <c r="AH18" s="114"/>
      <c r="AI18" s="79" t="s">
        <v>977</v>
      </c>
      <c r="AJ18" s="79" t="s">
        <v>713</v>
      </c>
      <c r="AK18" s="79"/>
      <c r="AL18" s="81"/>
      <c r="AM18" s="81" t="s">
        <v>732</v>
      </c>
      <c r="AN18" s="81"/>
      <c r="AO18" s="139"/>
      <c r="AP18" s="136"/>
      <c r="AQ18" s="136"/>
      <c r="AR18" s="136">
        <v>73</v>
      </c>
      <c r="AS18" s="136"/>
      <c r="AT18" s="136">
        <v>17</v>
      </c>
      <c r="AU18" s="136">
        <v>4</v>
      </c>
      <c r="AV18" s="136"/>
      <c r="AW18" s="136"/>
      <c r="AX18" s="136">
        <v>26</v>
      </c>
      <c r="AY18" s="140">
        <v>30</v>
      </c>
      <c r="AZ18" s="139">
        <v>60</v>
      </c>
      <c r="BA18" s="140">
        <v>90</v>
      </c>
      <c r="BB18" s="136">
        <v>150</v>
      </c>
    </row>
    <row r="19" spans="1:54" x14ac:dyDescent="0.2">
      <c r="B19" s="114"/>
      <c r="C19" s="79" t="s">
        <v>769</v>
      </c>
      <c r="D19" s="81"/>
      <c r="E19" s="129" t="s">
        <v>713</v>
      </c>
      <c r="F19" s="137"/>
      <c r="G19" s="129"/>
      <c r="H19" s="129"/>
      <c r="I19" s="129"/>
      <c r="J19" s="129"/>
      <c r="K19" s="129"/>
      <c r="L19" s="129"/>
      <c r="M19" s="129" t="s">
        <v>23</v>
      </c>
      <c r="N19" s="129" t="s">
        <v>23</v>
      </c>
      <c r="O19" s="129"/>
      <c r="P19" s="129"/>
      <c r="Q19" s="129" t="s">
        <v>23</v>
      </c>
      <c r="R19" s="129"/>
      <c r="S19" s="129" t="s">
        <v>23</v>
      </c>
      <c r="T19" s="129"/>
      <c r="U19" s="129" t="s">
        <v>23</v>
      </c>
      <c r="V19" s="138" t="s">
        <v>23</v>
      </c>
      <c r="W19" s="137"/>
      <c r="X19" s="129"/>
      <c r="Y19" s="129"/>
      <c r="Z19" s="129"/>
      <c r="AA19" s="129" t="s">
        <v>23</v>
      </c>
      <c r="AB19" s="129"/>
      <c r="AC19" s="129"/>
      <c r="AD19" s="129" t="s">
        <v>23</v>
      </c>
      <c r="AE19" s="129"/>
      <c r="AF19" s="138" t="s">
        <v>23</v>
      </c>
      <c r="AG19" s="126"/>
      <c r="AH19" s="114"/>
      <c r="AI19" s="79" t="s">
        <v>769</v>
      </c>
      <c r="AJ19" s="79" t="s">
        <v>713</v>
      </c>
      <c r="AK19" s="79"/>
      <c r="AL19" s="81"/>
      <c r="AM19" s="81" t="s">
        <v>732</v>
      </c>
      <c r="AN19" s="81"/>
      <c r="AO19" s="139"/>
      <c r="AP19" s="136"/>
      <c r="AQ19" s="136"/>
      <c r="AR19" s="136">
        <v>73</v>
      </c>
      <c r="AS19" s="136"/>
      <c r="AT19" s="136">
        <v>17</v>
      </c>
      <c r="AU19" s="136">
        <v>4</v>
      </c>
      <c r="AV19" s="136"/>
      <c r="AW19" s="136"/>
      <c r="AX19" s="136">
        <v>26</v>
      </c>
      <c r="AY19" s="140">
        <v>30</v>
      </c>
      <c r="AZ19" s="139">
        <v>60</v>
      </c>
      <c r="BA19" s="140">
        <v>90</v>
      </c>
      <c r="BB19" s="136">
        <v>150</v>
      </c>
    </row>
    <row r="20" spans="1:54" ht="25" x14ac:dyDescent="0.2">
      <c r="B20" s="114" t="s">
        <v>770</v>
      </c>
      <c r="C20" s="115" t="s">
        <v>479</v>
      </c>
      <c r="D20" s="81">
        <v>6</v>
      </c>
      <c r="E20" s="129" t="s">
        <v>713</v>
      </c>
      <c r="F20" s="137"/>
      <c r="G20" s="129"/>
      <c r="H20" s="129"/>
      <c r="I20" s="129"/>
      <c r="J20" s="129"/>
      <c r="K20" s="129"/>
      <c r="L20" s="129"/>
      <c r="M20" s="129" t="s">
        <v>23</v>
      </c>
      <c r="N20" s="129"/>
      <c r="O20" s="129"/>
      <c r="P20" s="129"/>
      <c r="Q20" s="129" t="s">
        <v>23</v>
      </c>
      <c r="R20" s="129"/>
      <c r="S20" s="129" t="s">
        <v>23</v>
      </c>
      <c r="T20" s="129" t="s">
        <v>23</v>
      </c>
      <c r="U20" s="129"/>
      <c r="V20" s="138" t="s">
        <v>23</v>
      </c>
      <c r="W20" s="137"/>
      <c r="X20" s="129"/>
      <c r="Y20" s="129"/>
      <c r="Z20" s="129"/>
      <c r="AA20" s="129" t="s">
        <v>23</v>
      </c>
      <c r="AB20" s="129"/>
      <c r="AC20" s="129"/>
      <c r="AD20" s="129" t="s">
        <v>23</v>
      </c>
      <c r="AE20" s="129"/>
      <c r="AF20" s="138" t="s">
        <v>23</v>
      </c>
      <c r="AG20" s="126"/>
      <c r="AH20" s="114">
        <v>37214104</v>
      </c>
      <c r="AI20" s="115" t="s">
        <v>479</v>
      </c>
      <c r="AJ20" s="79" t="s">
        <v>713</v>
      </c>
      <c r="AK20" s="80" t="s">
        <v>284</v>
      </c>
      <c r="AL20" s="81">
        <v>6</v>
      </c>
      <c r="AM20" s="81" t="s">
        <v>720</v>
      </c>
      <c r="AN20" s="81"/>
      <c r="AO20" s="139"/>
      <c r="AP20" s="136"/>
      <c r="AQ20" s="136"/>
      <c r="AR20" s="136">
        <v>66</v>
      </c>
      <c r="AS20" s="136"/>
      <c r="AT20" s="136">
        <v>20</v>
      </c>
      <c r="AU20" s="136">
        <v>6</v>
      </c>
      <c r="AV20" s="136"/>
      <c r="AW20" s="136"/>
      <c r="AX20" s="136">
        <v>18</v>
      </c>
      <c r="AY20" s="140">
        <v>40</v>
      </c>
      <c r="AZ20" s="139">
        <v>66</v>
      </c>
      <c r="BA20" s="140">
        <v>84</v>
      </c>
      <c r="BB20" s="136">
        <v>150</v>
      </c>
    </row>
    <row r="21" spans="1:54" ht="25" x14ac:dyDescent="0.2">
      <c r="B21" s="114" t="s">
        <v>771</v>
      </c>
      <c r="C21" s="115" t="s">
        <v>480</v>
      </c>
      <c r="D21" s="81">
        <v>6</v>
      </c>
      <c r="E21" s="129" t="s">
        <v>713</v>
      </c>
      <c r="F21" s="137"/>
      <c r="G21" s="129"/>
      <c r="H21" s="129"/>
      <c r="I21" s="129"/>
      <c r="J21" s="129"/>
      <c r="K21" s="129" t="s">
        <v>23</v>
      </c>
      <c r="L21" s="129"/>
      <c r="M21" s="129"/>
      <c r="N21" s="129"/>
      <c r="O21" s="129"/>
      <c r="P21" s="129"/>
      <c r="Q21" s="129" t="s">
        <v>23</v>
      </c>
      <c r="R21" s="129"/>
      <c r="S21" s="129" t="s">
        <v>23</v>
      </c>
      <c r="T21" s="129" t="s">
        <v>23</v>
      </c>
      <c r="U21" s="129"/>
      <c r="V21" s="138" t="s">
        <v>23</v>
      </c>
      <c r="W21" s="137"/>
      <c r="X21" s="129"/>
      <c r="Y21" s="129"/>
      <c r="Z21" s="129"/>
      <c r="AA21" s="129"/>
      <c r="AB21" s="129" t="s">
        <v>23</v>
      </c>
      <c r="AC21" s="129"/>
      <c r="AD21" s="129"/>
      <c r="AE21" s="129"/>
      <c r="AF21" s="138" t="s">
        <v>23</v>
      </c>
      <c r="AG21" s="126"/>
      <c r="AH21" s="114">
        <v>37214002</v>
      </c>
      <c r="AI21" s="115" t="s">
        <v>480</v>
      </c>
      <c r="AJ21" s="79" t="s">
        <v>713</v>
      </c>
      <c r="AK21" s="112" t="s">
        <v>261</v>
      </c>
      <c r="AL21" s="81">
        <v>6</v>
      </c>
      <c r="AM21" s="81" t="s">
        <v>732</v>
      </c>
      <c r="AN21" s="81"/>
      <c r="AO21" s="139"/>
      <c r="AP21" s="136"/>
      <c r="AQ21" s="136"/>
      <c r="AR21" s="136">
        <v>19</v>
      </c>
      <c r="AS21" s="136"/>
      <c r="AT21" s="136"/>
      <c r="AU21" s="136">
        <v>46</v>
      </c>
      <c r="AV21" s="136"/>
      <c r="AW21" s="136"/>
      <c r="AX21" s="136">
        <v>40</v>
      </c>
      <c r="AY21" s="140">
        <v>45</v>
      </c>
      <c r="AZ21" s="139">
        <v>65</v>
      </c>
      <c r="BA21" s="140">
        <v>85</v>
      </c>
      <c r="BB21" s="136">
        <v>150</v>
      </c>
    </row>
    <row r="22" spans="1:54" ht="49" x14ac:dyDescent="0.2">
      <c r="B22" s="114" t="s">
        <v>772</v>
      </c>
      <c r="C22" s="115" t="s">
        <v>481</v>
      </c>
      <c r="D22" s="81">
        <v>6</v>
      </c>
      <c r="E22" s="129" t="s">
        <v>713</v>
      </c>
      <c r="F22" s="137"/>
      <c r="G22" s="129"/>
      <c r="H22" s="129"/>
      <c r="I22" s="129"/>
      <c r="J22" s="129"/>
      <c r="K22" s="129"/>
      <c r="L22" s="129"/>
      <c r="M22" s="129"/>
      <c r="N22" s="129" t="s">
        <v>23</v>
      </c>
      <c r="O22" s="129"/>
      <c r="P22" s="129"/>
      <c r="Q22" s="129" t="s">
        <v>23</v>
      </c>
      <c r="R22" s="129"/>
      <c r="S22" s="129"/>
      <c r="T22" s="129" t="s">
        <v>23</v>
      </c>
      <c r="U22" s="129"/>
      <c r="V22" s="138" t="s">
        <v>23</v>
      </c>
      <c r="W22" s="137"/>
      <c r="X22" s="129"/>
      <c r="Y22" s="129"/>
      <c r="Z22" s="129"/>
      <c r="AA22" s="129" t="s">
        <v>23</v>
      </c>
      <c r="AB22" s="129"/>
      <c r="AC22" s="129" t="s">
        <v>23</v>
      </c>
      <c r="AD22" s="129" t="s">
        <v>23</v>
      </c>
      <c r="AE22" s="129"/>
      <c r="AF22" s="138" t="s">
        <v>23</v>
      </c>
      <c r="AG22" s="126"/>
      <c r="AH22" s="114">
        <v>37214010</v>
      </c>
      <c r="AI22" s="115" t="s">
        <v>481</v>
      </c>
      <c r="AJ22" s="79" t="s">
        <v>713</v>
      </c>
      <c r="AK22" s="112" t="s">
        <v>261</v>
      </c>
      <c r="AL22" s="81">
        <v>6</v>
      </c>
      <c r="AM22" s="81" t="s">
        <v>732</v>
      </c>
      <c r="AN22" s="81"/>
      <c r="AO22" s="139"/>
      <c r="AP22" s="136"/>
      <c r="AQ22" s="136"/>
      <c r="AR22" s="136">
        <v>61</v>
      </c>
      <c r="AS22" s="136"/>
      <c r="AT22" s="136"/>
      <c r="AU22" s="136">
        <v>34</v>
      </c>
      <c r="AV22" s="136"/>
      <c r="AW22" s="136"/>
      <c r="AX22" s="136">
        <v>14</v>
      </c>
      <c r="AY22" s="140">
        <v>40</v>
      </c>
      <c r="AZ22" s="139">
        <v>59</v>
      </c>
      <c r="BA22" s="140">
        <v>91</v>
      </c>
      <c r="BB22" s="136">
        <v>150</v>
      </c>
    </row>
    <row r="23" spans="1:54" ht="25" x14ac:dyDescent="0.2">
      <c r="B23" s="114" t="s">
        <v>773</v>
      </c>
      <c r="C23" s="115" t="s">
        <v>482</v>
      </c>
      <c r="D23" s="81">
        <v>6</v>
      </c>
      <c r="E23" s="129" t="s">
        <v>713</v>
      </c>
      <c r="F23" s="137"/>
      <c r="G23" s="129"/>
      <c r="H23" s="129"/>
      <c r="I23" s="129"/>
      <c r="J23" s="129"/>
      <c r="K23" s="129"/>
      <c r="L23" s="129" t="s">
        <v>23</v>
      </c>
      <c r="M23" s="129"/>
      <c r="N23" s="129"/>
      <c r="O23" s="129"/>
      <c r="P23" s="129"/>
      <c r="Q23" s="129" t="s">
        <v>23</v>
      </c>
      <c r="R23" s="129"/>
      <c r="S23" s="129"/>
      <c r="T23" s="129" t="s">
        <v>23</v>
      </c>
      <c r="U23" s="129"/>
      <c r="V23" s="138" t="s">
        <v>23</v>
      </c>
      <c r="W23" s="137"/>
      <c r="X23" s="129"/>
      <c r="Y23" s="129" t="s">
        <v>23</v>
      </c>
      <c r="Z23" s="129"/>
      <c r="AA23" s="129" t="s">
        <v>23</v>
      </c>
      <c r="AB23" s="129"/>
      <c r="AC23" s="129" t="s">
        <v>23</v>
      </c>
      <c r="AD23" s="129"/>
      <c r="AE23" s="129"/>
      <c r="AF23" s="138"/>
      <c r="AG23" s="126"/>
      <c r="AH23" s="114">
        <v>37214101</v>
      </c>
      <c r="AI23" s="115" t="s">
        <v>482</v>
      </c>
      <c r="AJ23" s="79" t="s">
        <v>713</v>
      </c>
      <c r="AK23" s="80" t="s">
        <v>284</v>
      </c>
      <c r="AL23" s="81">
        <v>6</v>
      </c>
      <c r="AM23" s="81" t="s">
        <v>732</v>
      </c>
      <c r="AN23" s="81"/>
      <c r="AO23" s="139">
        <v>2</v>
      </c>
      <c r="AP23" s="136"/>
      <c r="AQ23" s="136"/>
      <c r="AR23" s="136"/>
      <c r="AS23" s="136"/>
      <c r="AT23" s="136"/>
      <c r="AU23" s="136">
        <v>22</v>
      </c>
      <c r="AV23" s="136"/>
      <c r="AW23" s="136">
        <v>16</v>
      </c>
      <c r="AX23" s="136">
        <v>55</v>
      </c>
      <c r="AY23" s="140">
        <v>55</v>
      </c>
      <c r="AZ23" s="139">
        <v>60</v>
      </c>
      <c r="BA23" s="140">
        <v>90</v>
      </c>
      <c r="BB23" s="136">
        <v>150</v>
      </c>
    </row>
    <row r="24" spans="1:54" ht="38" thickBot="1" x14ac:dyDescent="0.25">
      <c r="B24" s="114" t="s">
        <v>774</v>
      </c>
      <c r="C24" s="115" t="s">
        <v>483</v>
      </c>
      <c r="D24" s="81">
        <v>6</v>
      </c>
      <c r="E24" s="129" t="s">
        <v>713</v>
      </c>
      <c r="F24" s="137"/>
      <c r="G24" s="129"/>
      <c r="H24" s="129"/>
      <c r="I24" s="129"/>
      <c r="J24" s="129"/>
      <c r="K24" s="129"/>
      <c r="L24" s="129"/>
      <c r="M24" s="129"/>
      <c r="N24" s="129" t="s">
        <v>23</v>
      </c>
      <c r="O24" s="129"/>
      <c r="P24" s="129"/>
      <c r="Q24" s="129" t="s">
        <v>23</v>
      </c>
      <c r="R24" s="129"/>
      <c r="S24" s="129" t="s">
        <v>23</v>
      </c>
      <c r="T24" s="129" t="s">
        <v>23</v>
      </c>
      <c r="U24" s="129" t="s">
        <v>23</v>
      </c>
      <c r="V24" s="138"/>
      <c r="W24" s="137"/>
      <c r="X24" s="129"/>
      <c r="Y24" s="129" t="s">
        <v>23</v>
      </c>
      <c r="Z24" s="129"/>
      <c r="AA24" s="129"/>
      <c r="AB24" s="129" t="s">
        <v>23</v>
      </c>
      <c r="AC24" s="129"/>
      <c r="AD24" s="129"/>
      <c r="AE24" s="129"/>
      <c r="AF24" s="138"/>
      <c r="AG24" s="126"/>
      <c r="AH24" s="114">
        <v>37214005</v>
      </c>
      <c r="AI24" s="115" t="s">
        <v>483</v>
      </c>
      <c r="AJ24" s="79" t="s">
        <v>713</v>
      </c>
      <c r="AK24" s="112" t="s">
        <v>261</v>
      </c>
      <c r="AL24" s="81">
        <v>6</v>
      </c>
      <c r="AM24" s="81" t="s">
        <v>732</v>
      </c>
      <c r="AN24" s="81"/>
      <c r="AO24" s="139">
        <v>2</v>
      </c>
      <c r="AP24" s="136"/>
      <c r="AQ24" s="136"/>
      <c r="AR24" s="136"/>
      <c r="AS24" s="136"/>
      <c r="AT24" s="136"/>
      <c r="AU24" s="136">
        <v>23</v>
      </c>
      <c r="AV24" s="136"/>
      <c r="AW24" s="136">
        <v>20</v>
      </c>
      <c r="AX24" s="136">
        <v>20</v>
      </c>
      <c r="AY24" s="136">
        <v>85</v>
      </c>
      <c r="AZ24" s="141">
        <v>60</v>
      </c>
      <c r="BA24" s="140">
        <v>90</v>
      </c>
      <c r="BB24" s="142">
        <v>150</v>
      </c>
    </row>
    <row r="25" spans="1:54" ht="16" thickBot="1" x14ac:dyDescent="0.25"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43">
        <f>SUM(AZ14:AZ24)</f>
        <v>610</v>
      </c>
      <c r="BA25" s="143">
        <f>SUM(BA14:BA24)</f>
        <v>890</v>
      </c>
      <c r="BB25" s="143">
        <f>SUM(BB14:BB24)</f>
        <v>1500</v>
      </c>
    </row>
    <row r="26" spans="1:54" ht="16" thickBot="1" x14ac:dyDescent="0.25"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44">
        <f>AZ25/BB25</f>
        <v>0.40666666666666668</v>
      </c>
      <c r="BA26" s="144">
        <f>BA25/BB25</f>
        <v>0.59333333333333338</v>
      </c>
      <c r="BB26" s="144">
        <f>BB25/BB25</f>
        <v>1</v>
      </c>
    </row>
    <row r="27" spans="1:54" ht="16" thickBot="1" x14ac:dyDescent="0.25">
      <c r="B27" s="84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</row>
    <row r="28" spans="1:54" ht="16" thickBot="1" x14ac:dyDescent="0.25">
      <c r="B28" s="126"/>
      <c r="C28" s="126"/>
      <c r="D28" s="126"/>
      <c r="E28" s="126"/>
      <c r="F28" s="1185" t="s">
        <v>671</v>
      </c>
      <c r="G28" s="1186"/>
      <c r="H28" s="1186"/>
      <c r="I28" s="1186"/>
      <c r="J28" s="1186"/>
      <c r="K28" s="1186"/>
      <c r="L28" s="1186"/>
      <c r="M28" s="1186"/>
      <c r="N28" s="1186"/>
      <c r="O28" s="1186"/>
      <c r="P28" s="1186"/>
      <c r="Q28" s="1186"/>
      <c r="R28" s="1186"/>
      <c r="S28" s="1186"/>
      <c r="T28" s="1186"/>
      <c r="U28" s="1186"/>
      <c r="V28" s="1187"/>
      <c r="W28" s="1185" t="s">
        <v>672</v>
      </c>
      <c r="X28" s="1186"/>
      <c r="Y28" s="1186"/>
      <c r="Z28" s="1186"/>
      <c r="AA28" s="1186"/>
      <c r="AB28" s="1186"/>
      <c r="AC28" s="1186"/>
      <c r="AD28" s="1186"/>
      <c r="AE28" s="1186"/>
      <c r="AF28" s="1187"/>
      <c r="AG28" s="126"/>
      <c r="AH28" s="126"/>
      <c r="AI28" s="126"/>
      <c r="AJ28" s="126"/>
      <c r="AK28" s="126"/>
      <c r="AL28" s="126"/>
      <c r="AM28" s="126"/>
      <c r="AN28" s="126"/>
      <c r="AO28" s="1185" t="s">
        <v>753</v>
      </c>
      <c r="AP28" s="1186"/>
      <c r="AQ28" s="1186"/>
      <c r="AR28" s="1186"/>
      <c r="AS28" s="1186"/>
      <c r="AT28" s="1186"/>
      <c r="AU28" s="1186"/>
      <c r="AV28" s="1186"/>
      <c r="AW28" s="1186"/>
      <c r="AX28" s="1186"/>
      <c r="AY28" s="1186"/>
      <c r="AZ28" s="1186"/>
      <c r="BA28" s="1186"/>
      <c r="BB28" s="1187"/>
    </row>
    <row r="29" spans="1:54" ht="49" thickBot="1" x14ac:dyDescent="0.25">
      <c r="A29" s="153"/>
      <c r="B29" s="100" t="s">
        <v>674</v>
      </c>
      <c r="C29" s="100" t="s">
        <v>250</v>
      </c>
      <c r="D29" s="100" t="s">
        <v>752</v>
      </c>
      <c r="E29" s="100" t="s">
        <v>251</v>
      </c>
      <c r="F29" s="154" t="s">
        <v>677</v>
      </c>
      <c r="G29" s="154" t="s">
        <v>678</v>
      </c>
      <c r="H29" s="154" t="s">
        <v>679</v>
      </c>
      <c r="I29" s="154" t="s">
        <v>680</v>
      </c>
      <c r="J29" s="154" t="s">
        <v>681</v>
      </c>
      <c r="K29" s="154" t="s">
        <v>682</v>
      </c>
      <c r="L29" s="154" t="s">
        <v>754</v>
      </c>
      <c r="M29" s="154" t="s">
        <v>755</v>
      </c>
      <c r="N29" s="154" t="s">
        <v>756</v>
      </c>
      <c r="O29" s="154" t="s">
        <v>757</v>
      </c>
      <c r="P29" s="154" t="s">
        <v>758</v>
      </c>
      <c r="Q29" s="154" t="s">
        <v>759</v>
      </c>
      <c r="R29" s="154" t="s">
        <v>760</v>
      </c>
      <c r="S29" s="154" t="s">
        <v>761</v>
      </c>
      <c r="T29" s="154" t="s">
        <v>762</v>
      </c>
      <c r="U29" s="154" t="s">
        <v>763</v>
      </c>
      <c r="V29" s="154" t="s">
        <v>764</v>
      </c>
      <c r="W29" s="154" t="s">
        <v>683</v>
      </c>
      <c r="X29" s="154" t="s">
        <v>684</v>
      </c>
      <c r="Y29" s="154" t="s">
        <v>685</v>
      </c>
      <c r="Z29" s="154" t="s">
        <v>686</v>
      </c>
      <c r="AA29" s="154" t="s">
        <v>687</v>
      </c>
      <c r="AB29" s="154" t="s">
        <v>688</v>
      </c>
      <c r="AC29" s="154" t="s">
        <v>689</v>
      </c>
      <c r="AD29" s="154" t="s">
        <v>690</v>
      </c>
      <c r="AE29" s="154" t="s">
        <v>691</v>
      </c>
      <c r="AF29" s="155" t="s">
        <v>692</v>
      </c>
      <c r="AG29" s="64"/>
      <c r="AH29" s="99" t="s">
        <v>674</v>
      </c>
      <c r="AI29" s="99" t="s">
        <v>250</v>
      </c>
      <c r="AJ29" s="99" t="s">
        <v>251</v>
      </c>
      <c r="AK29" s="99" t="s">
        <v>252</v>
      </c>
      <c r="AL29" s="99" t="s">
        <v>752</v>
      </c>
      <c r="AM29" s="99" t="s">
        <v>697</v>
      </c>
      <c r="AN29" s="152" t="s">
        <v>698</v>
      </c>
      <c r="AO29" s="154" t="s">
        <v>699</v>
      </c>
      <c r="AP29" s="154" t="s">
        <v>700</v>
      </c>
      <c r="AQ29" s="154" t="s">
        <v>701</v>
      </c>
      <c r="AR29" s="154" t="s">
        <v>702</v>
      </c>
      <c r="AS29" s="154" t="s">
        <v>703</v>
      </c>
      <c r="AT29" s="154" t="s">
        <v>704</v>
      </c>
      <c r="AU29" s="154" t="s">
        <v>705</v>
      </c>
      <c r="AV29" s="154" t="s">
        <v>706</v>
      </c>
      <c r="AW29" s="154" t="s">
        <v>707</v>
      </c>
      <c r="AX29" s="154" t="s">
        <v>708</v>
      </c>
      <c r="AY29" s="155" t="s">
        <v>709</v>
      </c>
      <c r="AZ29" s="108" t="s">
        <v>710</v>
      </c>
      <c r="BA29" s="108" t="s">
        <v>711</v>
      </c>
      <c r="BB29" s="108" t="s">
        <v>712</v>
      </c>
    </row>
    <row r="30" spans="1:54" ht="25" x14ac:dyDescent="0.2">
      <c r="B30" s="109">
        <v>37214003</v>
      </c>
      <c r="C30" s="117" t="s">
        <v>484</v>
      </c>
      <c r="D30" s="76">
        <v>6</v>
      </c>
      <c r="E30" s="129" t="s">
        <v>724</v>
      </c>
      <c r="F30" s="130" t="s">
        <v>23</v>
      </c>
      <c r="G30" s="131"/>
      <c r="H30" s="131"/>
      <c r="I30" s="131"/>
      <c r="J30" s="131"/>
      <c r="K30" s="131"/>
      <c r="L30" s="131" t="s">
        <v>23</v>
      </c>
      <c r="M30" s="131"/>
      <c r="N30" s="131"/>
      <c r="O30" s="131"/>
      <c r="P30" s="131"/>
      <c r="Q30" s="131" t="s">
        <v>23</v>
      </c>
      <c r="R30" s="131"/>
      <c r="S30" s="131" t="s">
        <v>23</v>
      </c>
      <c r="T30" s="131" t="s">
        <v>23</v>
      </c>
      <c r="U30" s="131"/>
      <c r="V30" s="132" t="s">
        <v>23</v>
      </c>
      <c r="W30" s="130"/>
      <c r="X30" s="131"/>
      <c r="Y30" s="131"/>
      <c r="Z30" s="131"/>
      <c r="AA30" s="131"/>
      <c r="AB30" s="131" t="s">
        <v>23</v>
      </c>
      <c r="AC30" s="131" t="s">
        <v>23</v>
      </c>
      <c r="AD30" s="131" t="s">
        <v>23</v>
      </c>
      <c r="AE30" s="131"/>
      <c r="AF30" s="132"/>
      <c r="AG30" s="126"/>
      <c r="AH30" s="109">
        <v>37214003</v>
      </c>
      <c r="AI30" s="117" t="s">
        <v>484</v>
      </c>
      <c r="AJ30" s="80" t="s">
        <v>724</v>
      </c>
      <c r="AK30" s="80" t="s">
        <v>261</v>
      </c>
      <c r="AL30" s="81">
        <v>6</v>
      </c>
      <c r="AM30" s="77" t="s">
        <v>732</v>
      </c>
      <c r="AN30" s="77"/>
      <c r="AO30" s="133"/>
      <c r="AP30" s="134"/>
      <c r="AQ30" s="134"/>
      <c r="AR30" s="134">
        <v>26</v>
      </c>
      <c r="AS30" s="134"/>
      <c r="AT30" s="134"/>
      <c r="AU30" s="134">
        <v>24</v>
      </c>
      <c r="AV30" s="134"/>
      <c r="AW30" s="134"/>
      <c r="AX30" s="134">
        <v>41</v>
      </c>
      <c r="AY30" s="135">
        <v>59</v>
      </c>
      <c r="AZ30" s="133">
        <v>65</v>
      </c>
      <c r="BA30" s="135">
        <v>85</v>
      </c>
      <c r="BB30" s="136">
        <f>SUM(AZ30+BA30)</f>
        <v>150</v>
      </c>
    </row>
    <row r="31" spans="1:54" ht="37" x14ac:dyDescent="0.2">
      <c r="B31" s="114">
        <v>37214004</v>
      </c>
      <c r="C31" s="117" t="s">
        <v>485</v>
      </c>
      <c r="D31" s="81">
        <v>6</v>
      </c>
      <c r="E31" s="129" t="s">
        <v>724</v>
      </c>
      <c r="F31" s="137" t="s">
        <v>23</v>
      </c>
      <c r="G31" s="129"/>
      <c r="H31" s="129"/>
      <c r="I31" s="129"/>
      <c r="J31" s="129"/>
      <c r="K31" s="129"/>
      <c r="L31" s="129" t="s">
        <v>23</v>
      </c>
      <c r="M31" s="129"/>
      <c r="N31" s="129" t="s">
        <v>23</v>
      </c>
      <c r="O31" s="129"/>
      <c r="P31" s="129"/>
      <c r="Q31" s="129"/>
      <c r="R31" s="129"/>
      <c r="S31" s="129" t="s">
        <v>23</v>
      </c>
      <c r="T31" s="129" t="s">
        <v>23</v>
      </c>
      <c r="U31" s="129" t="s">
        <v>23</v>
      </c>
      <c r="V31" s="138"/>
      <c r="W31" s="137"/>
      <c r="X31" s="129"/>
      <c r="Y31" s="129"/>
      <c r="Z31" s="129"/>
      <c r="AA31" s="129"/>
      <c r="AB31" s="129" t="s">
        <v>23</v>
      </c>
      <c r="AC31" s="129"/>
      <c r="AD31" s="129" t="s">
        <v>23</v>
      </c>
      <c r="AE31" s="129"/>
      <c r="AF31" s="138"/>
      <c r="AG31" s="126"/>
      <c r="AH31" s="114">
        <v>37214004</v>
      </c>
      <c r="AI31" s="117" t="s">
        <v>485</v>
      </c>
      <c r="AJ31" s="80" t="s">
        <v>724</v>
      </c>
      <c r="AK31" s="80" t="s">
        <v>261</v>
      </c>
      <c r="AL31" s="81">
        <v>6</v>
      </c>
      <c r="AM31" s="82" t="s">
        <v>732</v>
      </c>
      <c r="AN31" s="82"/>
      <c r="AO31" s="139"/>
      <c r="AP31" s="136"/>
      <c r="AQ31" s="136"/>
      <c r="AR31" s="136">
        <v>16</v>
      </c>
      <c r="AS31" s="136"/>
      <c r="AT31" s="136"/>
      <c r="AU31" s="136">
        <v>14</v>
      </c>
      <c r="AV31" s="136"/>
      <c r="AW31" s="136"/>
      <c r="AX31" s="136">
        <v>38</v>
      </c>
      <c r="AY31" s="140">
        <v>82</v>
      </c>
      <c r="AZ31" s="139">
        <v>62</v>
      </c>
      <c r="BA31" s="140">
        <v>88</v>
      </c>
      <c r="BB31" s="136">
        <f>SUM(AZ31+BA31)</f>
        <v>150</v>
      </c>
    </row>
    <row r="32" spans="1:54" ht="37" x14ac:dyDescent="0.2">
      <c r="B32" s="114">
        <v>37214008</v>
      </c>
      <c r="C32" s="117" t="s">
        <v>486</v>
      </c>
      <c r="D32" s="81">
        <v>6</v>
      </c>
      <c r="E32" s="129" t="s">
        <v>724</v>
      </c>
      <c r="F32" s="137"/>
      <c r="G32" s="129" t="s">
        <v>23</v>
      </c>
      <c r="H32" s="129"/>
      <c r="I32" s="129"/>
      <c r="J32" s="129"/>
      <c r="K32" s="129"/>
      <c r="L32" s="129" t="s">
        <v>23</v>
      </c>
      <c r="M32" s="129"/>
      <c r="N32" s="129"/>
      <c r="O32" s="129"/>
      <c r="P32" s="129"/>
      <c r="Q32" s="129"/>
      <c r="R32" s="129"/>
      <c r="S32" s="129"/>
      <c r="T32" s="129" t="s">
        <v>23</v>
      </c>
      <c r="U32" s="129" t="s">
        <v>23</v>
      </c>
      <c r="V32" s="138" t="s">
        <v>23</v>
      </c>
      <c r="W32" s="137"/>
      <c r="X32" s="129"/>
      <c r="Y32" s="129" t="s">
        <v>23</v>
      </c>
      <c r="Z32" s="129"/>
      <c r="AA32" s="129"/>
      <c r="AB32" s="129"/>
      <c r="AC32" s="129" t="s">
        <v>23</v>
      </c>
      <c r="AD32" s="129"/>
      <c r="AE32" s="129"/>
      <c r="AF32" s="138" t="s">
        <v>23</v>
      </c>
      <c r="AG32" s="126"/>
      <c r="AH32" s="114">
        <v>37214008</v>
      </c>
      <c r="AI32" s="117" t="s">
        <v>486</v>
      </c>
      <c r="AJ32" s="80" t="s">
        <v>724</v>
      </c>
      <c r="AK32" s="80" t="s">
        <v>261</v>
      </c>
      <c r="AL32" s="81">
        <v>6</v>
      </c>
      <c r="AM32" s="82" t="s">
        <v>732</v>
      </c>
      <c r="AN32" s="82"/>
      <c r="AO32" s="139">
        <v>2</v>
      </c>
      <c r="AP32" s="136"/>
      <c r="AQ32" s="136"/>
      <c r="AR32" s="136"/>
      <c r="AS32" s="136"/>
      <c r="AT32" s="136"/>
      <c r="AU32" s="136">
        <v>22</v>
      </c>
      <c r="AV32" s="136">
        <v>55</v>
      </c>
      <c r="AW32" s="136"/>
      <c r="AX32" s="136">
        <v>16</v>
      </c>
      <c r="AY32" s="140">
        <v>55</v>
      </c>
      <c r="AZ32" s="139">
        <v>60</v>
      </c>
      <c r="BA32" s="140">
        <v>90</v>
      </c>
      <c r="BB32" s="136">
        <f>SUM(AZ32+BA32)</f>
        <v>150</v>
      </c>
    </row>
    <row r="33" spans="2:54" ht="37" x14ac:dyDescent="0.2">
      <c r="B33" s="114">
        <v>37214009</v>
      </c>
      <c r="C33" s="117" t="s">
        <v>487</v>
      </c>
      <c r="D33" s="81">
        <v>12</v>
      </c>
      <c r="E33" s="129" t="s">
        <v>724</v>
      </c>
      <c r="F33" s="137"/>
      <c r="G33" s="129"/>
      <c r="H33" s="129"/>
      <c r="I33" s="129" t="s">
        <v>23</v>
      </c>
      <c r="J33" s="129"/>
      <c r="K33" s="129"/>
      <c r="L33" s="129" t="s">
        <v>23</v>
      </c>
      <c r="M33" s="129"/>
      <c r="N33" s="129"/>
      <c r="O33" s="129"/>
      <c r="P33" s="129"/>
      <c r="Q33" s="129" t="s">
        <v>23</v>
      </c>
      <c r="R33" s="129"/>
      <c r="S33" s="129"/>
      <c r="T33" s="129" t="s">
        <v>23</v>
      </c>
      <c r="U33" s="129" t="s">
        <v>23</v>
      </c>
      <c r="V33" s="138" t="s">
        <v>23</v>
      </c>
      <c r="W33" s="137"/>
      <c r="X33" s="129"/>
      <c r="Y33" s="129" t="s">
        <v>23</v>
      </c>
      <c r="Z33" s="129"/>
      <c r="AA33" s="129" t="s">
        <v>23</v>
      </c>
      <c r="AB33" s="129"/>
      <c r="AC33" s="129" t="s">
        <v>23</v>
      </c>
      <c r="AD33" s="129"/>
      <c r="AE33" s="129"/>
      <c r="AF33" s="138" t="s">
        <v>23</v>
      </c>
      <c r="AG33" s="126"/>
      <c r="AH33" s="114">
        <v>37214009</v>
      </c>
      <c r="AI33" s="117" t="s">
        <v>487</v>
      </c>
      <c r="AJ33" s="80" t="s">
        <v>724</v>
      </c>
      <c r="AK33" s="80" t="s">
        <v>261</v>
      </c>
      <c r="AL33" s="81">
        <v>6</v>
      </c>
      <c r="AM33" s="82" t="s">
        <v>732</v>
      </c>
      <c r="AN33" s="82"/>
      <c r="AO33" s="139">
        <v>2</v>
      </c>
      <c r="AP33" s="136">
        <v>50</v>
      </c>
      <c r="AQ33" s="136">
        <v>27</v>
      </c>
      <c r="AR33" s="136"/>
      <c r="AS33" s="136"/>
      <c r="AT33" s="136"/>
      <c r="AU33" s="136"/>
      <c r="AV33" s="136"/>
      <c r="AW33" s="136"/>
      <c r="AX33" s="136">
        <v>16</v>
      </c>
      <c r="AY33" s="140">
        <v>55</v>
      </c>
      <c r="AZ33" s="139">
        <v>60</v>
      </c>
      <c r="BA33" s="140">
        <v>90</v>
      </c>
      <c r="BB33" s="136">
        <f>SUM(AZ33+BA33)</f>
        <v>150</v>
      </c>
    </row>
    <row r="34" spans="2:54" x14ac:dyDescent="0.2">
      <c r="B34" s="114">
        <v>37214107</v>
      </c>
      <c r="C34" s="117" t="s">
        <v>488</v>
      </c>
      <c r="D34" s="81"/>
      <c r="E34" s="129" t="s">
        <v>724</v>
      </c>
      <c r="F34" s="137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8"/>
      <c r="W34" s="137"/>
      <c r="X34" s="129"/>
      <c r="Y34" s="129"/>
      <c r="Z34" s="129"/>
      <c r="AA34" s="129"/>
      <c r="AB34" s="129"/>
      <c r="AC34" s="129"/>
      <c r="AD34" s="129"/>
      <c r="AE34" s="129"/>
      <c r="AF34" s="138"/>
      <c r="AG34" s="126"/>
      <c r="AH34" s="114">
        <v>37214107</v>
      </c>
      <c r="AI34" s="117" t="s">
        <v>488</v>
      </c>
      <c r="AJ34" s="80" t="s">
        <v>724</v>
      </c>
      <c r="AK34" s="80" t="s">
        <v>284</v>
      </c>
      <c r="AL34" s="81">
        <v>12</v>
      </c>
      <c r="AM34" s="82"/>
      <c r="AN34" s="82"/>
      <c r="AO34" s="139"/>
      <c r="AP34" s="136"/>
      <c r="AQ34" s="136"/>
      <c r="AR34" s="136"/>
      <c r="AS34" s="136"/>
      <c r="AT34" s="136"/>
      <c r="AU34" s="136"/>
      <c r="AV34" s="136"/>
      <c r="AW34" s="136"/>
      <c r="AX34" s="136"/>
      <c r="AY34" s="140"/>
      <c r="AZ34" s="139"/>
      <c r="BA34" s="140"/>
      <c r="BB34" s="136"/>
    </row>
    <row r="35" spans="2:54" x14ac:dyDescent="0.2">
      <c r="B35" s="114"/>
      <c r="C35" s="118" t="s">
        <v>775</v>
      </c>
      <c r="D35" s="81"/>
      <c r="E35" s="129" t="s">
        <v>724</v>
      </c>
      <c r="F35" s="137"/>
      <c r="G35" s="129"/>
      <c r="H35" s="129"/>
      <c r="I35" s="129"/>
      <c r="J35" s="129"/>
      <c r="K35" s="129"/>
      <c r="L35" s="129"/>
      <c r="M35" s="129" t="s">
        <v>23</v>
      </c>
      <c r="N35" s="129"/>
      <c r="O35" s="129"/>
      <c r="P35" s="129"/>
      <c r="Q35" s="129" t="s">
        <v>23</v>
      </c>
      <c r="R35" s="129"/>
      <c r="S35" s="129" t="s">
        <v>23</v>
      </c>
      <c r="T35" s="129" t="s">
        <v>23</v>
      </c>
      <c r="U35" s="129"/>
      <c r="V35" s="138"/>
      <c r="W35" s="137"/>
      <c r="X35" s="129"/>
      <c r="Y35" s="129"/>
      <c r="Z35" s="129"/>
      <c r="AA35" s="129" t="s">
        <v>23</v>
      </c>
      <c r="AB35" s="129"/>
      <c r="AC35" s="129"/>
      <c r="AD35" s="129" t="s">
        <v>23</v>
      </c>
      <c r="AE35" s="129"/>
      <c r="AF35" s="138" t="s">
        <v>23</v>
      </c>
      <c r="AG35" s="126"/>
      <c r="AH35" s="114"/>
      <c r="AI35" s="118" t="s">
        <v>775</v>
      </c>
      <c r="AJ35" s="80" t="s">
        <v>724</v>
      </c>
      <c r="AK35" s="80"/>
      <c r="AL35" s="81"/>
      <c r="AM35" s="82" t="s">
        <v>732</v>
      </c>
      <c r="AN35" s="82"/>
      <c r="AO35" s="139"/>
      <c r="AP35" s="136"/>
      <c r="AQ35" s="136"/>
      <c r="AR35" s="136">
        <v>69</v>
      </c>
      <c r="AS35" s="136">
        <v>33</v>
      </c>
      <c r="AT35" s="136"/>
      <c r="AU35" s="136"/>
      <c r="AV35" s="136"/>
      <c r="AW35" s="136"/>
      <c r="AX35" s="136">
        <v>15</v>
      </c>
      <c r="AY35" s="140">
        <v>33</v>
      </c>
      <c r="AZ35" s="139">
        <v>66</v>
      </c>
      <c r="BA35" s="140">
        <v>84</v>
      </c>
      <c r="BB35" s="136">
        <f t="shared" ref="BB35:BB40" si="0">SUM(AZ35+BA35)</f>
        <v>150</v>
      </c>
    </row>
    <row r="36" spans="2:54" x14ac:dyDescent="0.2">
      <c r="B36" s="114"/>
      <c r="C36" s="118" t="s">
        <v>776</v>
      </c>
      <c r="D36" s="81">
        <v>6</v>
      </c>
      <c r="E36" s="129" t="s">
        <v>724</v>
      </c>
      <c r="F36" s="137"/>
      <c r="G36" s="129"/>
      <c r="H36" s="129"/>
      <c r="I36" s="129"/>
      <c r="J36" s="129"/>
      <c r="K36" s="129"/>
      <c r="L36" s="129"/>
      <c r="M36" s="129" t="s">
        <v>23</v>
      </c>
      <c r="N36" s="129"/>
      <c r="O36" s="129"/>
      <c r="P36" s="129"/>
      <c r="Q36" s="129" t="s">
        <v>23</v>
      </c>
      <c r="R36" s="129"/>
      <c r="S36" s="129" t="s">
        <v>23</v>
      </c>
      <c r="T36" s="129" t="s">
        <v>23</v>
      </c>
      <c r="U36" s="129"/>
      <c r="V36" s="138"/>
      <c r="W36" s="137"/>
      <c r="X36" s="129"/>
      <c r="Y36" s="129"/>
      <c r="Z36" s="129"/>
      <c r="AA36" s="129" t="s">
        <v>23</v>
      </c>
      <c r="AB36" s="129"/>
      <c r="AC36" s="129" t="s">
        <v>23</v>
      </c>
      <c r="AD36" s="129"/>
      <c r="AE36" s="129"/>
      <c r="AF36" s="138" t="s">
        <v>23</v>
      </c>
      <c r="AG36" s="126"/>
      <c r="AH36" s="114"/>
      <c r="AI36" s="118" t="s">
        <v>776</v>
      </c>
      <c r="AJ36" s="80" t="s">
        <v>724</v>
      </c>
      <c r="AK36" s="80"/>
      <c r="AL36" s="81"/>
      <c r="AM36" s="82" t="s">
        <v>732</v>
      </c>
      <c r="AN36" s="82"/>
      <c r="AO36" s="139"/>
      <c r="AP36" s="136"/>
      <c r="AQ36" s="136"/>
      <c r="AR36" s="136">
        <v>62</v>
      </c>
      <c r="AS36" s="136"/>
      <c r="AT36" s="136">
        <v>10</v>
      </c>
      <c r="AU36" s="136">
        <v>23</v>
      </c>
      <c r="AV36" s="136"/>
      <c r="AW36" s="136"/>
      <c r="AX36" s="136">
        <v>14</v>
      </c>
      <c r="AY36" s="140">
        <v>41</v>
      </c>
      <c r="AZ36" s="139">
        <v>66</v>
      </c>
      <c r="BA36" s="140">
        <v>84</v>
      </c>
      <c r="BB36" s="136">
        <f t="shared" si="0"/>
        <v>150</v>
      </c>
    </row>
    <row r="37" spans="2:54" x14ac:dyDescent="0.2">
      <c r="B37" s="114">
        <v>37214105</v>
      </c>
      <c r="C37" s="117" t="s">
        <v>489</v>
      </c>
      <c r="D37" s="81">
        <v>6</v>
      </c>
      <c r="E37" s="129" t="s">
        <v>724</v>
      </c>
      <c r="F37" s="137"/>
      <c r="G37" s="129"/>
      <c r="H37" s="129"/>
      <c r="I37" s="129"/>
      <c r="J37" s="129"/>
      <c r="K37" s="129"/>
      <c r="L37" s="129"/>
      <c r="M37" s="129" t="s">
        <v>23</v>
      </c>
      <c r="N37" s="129"/>
      <c r="O37" s="129"/>
      <c r="P37" s="129"/>
      <c r="Q37" s="129" t="s">
        <v>23</v>
      </c>
      <c r="R37" s="129"/>
      <c r="S37" s="129"/>
      <c r="T37" s="129" t="s">
        <v>23</v>
      </c>
      <c r="U37" s="129"/>
      <c r="V37" s="138"/>
      <c r="W37" s="137"/>
      <c r="X37" s="129"/>
      <c r="Y37" s="129"/>
      <c r="Z37" s="129"/>
      <c r="AA37" s="129" t="s">
        <v>23</v>
      </c>
      <c r="AB37" s="129"/>
      <c r="AC37" s="129"/>
      <c r="AD37" s="129" t="s">
        <v>23</v>
      </c>
      <c r="AE37" s="129"/>
      <c r="AF37" s="138" t="s">
        <v>23</v>
      </c>
      <c r="AG37" s="126"/>
      <c r="AH37" s="114">
        <v>37214105</v>
      </c>
      <c r="AI37" s="117" t="s">
        <v>489</v>
      </c>
      <c r="AJ37" s="80" t="s">
        <v>724</v>
      </c>
      <c r="AK37" s="80" t="s">
        <v>284</v>
      </c>
      <c r="AL37" s="81">
        <v>6</v>
      </c>
      <c r="AM37" s="82" t="s">
        <v>720</v>
      </c>
      <c r="AN37" s="82"/>
      <c r="AO37" s="139"/>
      <c r="AP37" s="136"/>
      <c r="AQ37" s="136"/>
      <c r="AR37" s="136">
        <v>46</v>
      </c>
      <c r="AS37" s="136"/>
      <c r="AT37" s="136">
        <v>12</v>
      </c>
      <c r="AU37" s="136">
        <v>10</v>
      </c>
      <c r="AV37" s="136"/>
      <c r="AW37" s="136">
        <v>38</v>
      </c>
      <c r="AX37" s="136"/>
      <c r="AY37" s="140">
        <v>44</v>
      </c>
      <c r="AZ37" s="139">
        <v>60</v>
      </c>
      <c r="BA37" s="140">
        <v>90</v>
      </c>
      <c r="BB37" s="136">
        <f t="shared" si="0"/>
        <v>150</v>
      </c>
    </row>
    <row r="38" spans="2:54" ht="25" x14ac:dyDescent="0.2">
      <c r="B38" s="114">
        <v>37214109</v>
      </c>
      <c r="C38" s="117" t="s">
        <v>490</v>
      </c>
      <c r="D38" s="81">
        <v>6</v>
      </c>
      <c r="E38" s="129" t="s">
        <v>724</v>
      </c>
      <c r="F38" s="137"/>
      <c r="G38" s="129" t="s">
        <v>23</v>
      </c>
      <c r="H38" s="129"/>
      <c r="I38" s="129"/>
      <c r="J38" s="129"/>
      <c r="K38" s="129"/>
      <c r="L38" s="129"/>
      <c r="M38" s="129"/>
      <c r="N38" s="129" t="s">
        <v>23</v>
      </c>
      <c r="O38" s="129"/>
      <c r="P38" s="129"/>
      <c r="Q38" s="129"/>
      <c r="R38" s="129"/>
      <c r="S38" s="129" t="s">
        <v>23</v>
      </c>
      <c r="T38" s="129" t="s">
        <v>23</v>
      </c>
      <c r="U38" s="129"/>
      <c r="V38" s="138"/>
      <c r="W38" s="137"/>
      <c r="X38" s="129"/>
      <c r="Y38" s="129"/>
      <c r="Z38" s="129"/>
      <c r="AA38" s="129" t="s">
        <v>23</v>
      </c>
      <c r="AB38" s="129"/>
      <c r="AC38" s="129"/>
      <c r="AD38" s="129"/>
      <c r="AE38" s="129"/>
      <c r="AF38" s="138" t="s">
        <v>23</v>
      </c>
      <c r="AG38" s="126"/>
      <c r="AH38" s="114">
        <v>37214109</v>
      </c>
      <c r="AI38" s="117" t="s">
        <v>490</v>
      </c>
      <c r="AJ38" s="80" t="s">
        <v>724</v>
      </c>
      <c r="AK38" s="80" t="s">
        <v>284</v>
      </c>
      <c r="AL38" s="81">
        <v>6</v>
      </c>
      <c r="AM38" s="82" t="s">
        <v>732</v>
      </c>
      <c r="AN38" s="82"/>
      <c r="AO38" s="139"/>
      <c r="AP38" s="136"/>
      <c r="AQ38" s="136"/>
      <c r="AR38" s="136"/>
      <c r="AS38" s="136"/>
      <c r="AT38" s="136"/>
      <c r="AU38" s="136">
        <v>24</v>
      </c>
      <c r="AV38" s="136"/>
      <c r="AW38" s="136"/>
      <c r="AX38" s="136">
        <v>38</v>
      </c>
      <c r="AY38" s="140">
        <v>88</v>
      </c>
      <c r="AZ38" s="139">
        <v>60</v>
      </c>
      <c r="BA38" s="140">
        <v>90</v>
      </c>
      <c r="BB38" s="136">
        <f t="shared" si="0"/>
        <v>150</v>
      </c>
    </row>
    <row r="39" spans="2:54" ht="49" x14ac:dyDescent="0.2">
      <c r="B39" s="119">
        <v>37214007</v>
      </c>
      <c r="C39" s="116" t="s">
        <v>491</v>
      </c>
      <c r="D39" s="92">
        <v>6</v>
      </c>
      <c r="E39" s="71" t="s">
        <v>724</v>
      </c>
      <c r="F39" s="145" t="s">
        <v>23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 t="s">
        <v>23</v>
      </c>
      <c r="R39" s="71"/>
      <c r="S39" s="71" t="s">
        <v>23</v>
      </c>
      <c r="T39" s="71" t="s">
        <v>23</v>
      </c>
      <c r="U39" s="71" t="s">
        <v>23</v>
      </c>
      <c r="V39" s="146"/>
      <c r="W39" s="145"/>
      <c r="X39" s="71"/>
      <c r="Y39" s="71"/>
      <c r="Z39" s="71"/>
      <c r="AA39" s="71"/>
      <c r="AB39" s="71" t="s">
        <v>23</v>
      </c>
      <c r="AC39" s="71" t="s">
        <v>23</v>
      </c>
      <c r="AD39" s="71"/>
      <c r="AE39" s="71"/>
      <c r="AF39" s="146" t="s">
        <v>23</v>
      </c>
      <c r="AG39" s="126"/>
      <c r="AH39" s="114">
        <v>37214007</v>
      </c>
      <c r="AI39" s="117" t="s">
        <v>491</v>
      </c>
      <c r="AJ39" s="80" t="s">
        <v>724</v>
      </c>
      <c r="AK39" s="80" t="s">
        <v>261</v>
      </c>
      <c r="AL39" s="81">
        <v>6</v>
      </c>
      <c r="AM39" s="82" t="s">
        <v>732</v>
      </c>
      <c r="AN39" s="82"/>
      <c r="AO39" s="139"/>
      <c r="AP39" s="136"/>
      <c r="AQ39" s="136"/>
      <c r="AR39" s="136"/>
      <c r="AS39" s="136"/>
      <c r="AT39" s="136">
        <v>28</v>
      </c>
      <c r="AU39" s="136"/>
      <c r="AV39" s="136"/>
      <c r="AW39" s="136"/>
      <c r="AX39" s="136">
        <v>61</v>
      </c>
      <c r="AY39" s="140">
        <v>61</v>
      </c>
      <c r="AZ39" s="139">
        <v>60</v>
      </c>
      <c r="BA39" s="140">
        <v>90</v>
      </c>
      <c r="BB39" s="136">
        <f t="shared" si="0"/>
        <v>150</v>
      </c>
    </row>
    <row r="40" spans="2:54" ht="38" thickBot="1" x14ac:dyDescent="0.25">
      <c r="B40" s="114">
        <v>37214116</v>
      </c>
      <c r="C40" s="117" t="s">
        <v>492</v>
      </c>
      <c r="D40" s="81">
        <v>6</v>
      </c>
      <c r="E40" s="129" t="s">
        <v>724</v>
      </c>
      <c r="F40" s="137" t="s">
        <v>23</v>
      </c>
      <c r="G40" s="129" t="s">
        <v>23</v>
      </c>
      <c r="H40" s="129"/>
      <c r="I40" s="129"/>
      <c r="J40" s="129" t="s">
        <v>23</v>
      </c>
      <c r="K40" s="129"/>
      <c r="L40" s="129"/>
      <c r="M40" s="129"/>
      <c r="N40" s="129" t="s">
        <v>23</v>
      </c>
      <c r="O40" s="129"/>
      <c r="P40" s="129"/>
      <c r="Q40" s="129"/>
      <c r="R40" s="129"/>
      <c r="S40" s="129"/>
      <c r="T40" s="129" t="s">
        <v>23</v>
      </c>
      <c r="U40" s="129"/>
      <c r="V40" s="138" t="s">
        <v>23</v>
      </c>
      <c r="W40" s="137"/>
      <c r="X40" s="129"/>
      <c r="Y40" s="129"/>
      <c r="Z40" s="129"/>
      <c r="AA40" s="129" t="s">
        <v>23</v>
      </c>
      <c r="AB40" s="129"/>
      <c r="AC40" s="129"/>
      <c r="AD40" s="129"/>
      <c r="AE40" s="129"/>
      <c r="AF40" s="138" t="s">
        <v>23</v>
      </c>
      <c r="AG40" s="126"/>
      <c r="AH40" s="114">
        <v>37214116</v>
      </c>
      <c r="AI40" s="117" t="s">
        <v>492</v>
      </c>
      <c r="AJ40" s="80" t="s">
        <v>724</v>
      </c>
      <c r="AK40" s="80" t="s">
        <v>284</v>
      </c>
      <c r="AL40" s="81">
        <v>6</v>
      </c>
      <c r="AM40" s="82" t="s">
        <v>732</v>
      </c>
      <c r="AN40" s="82"/>
      <c r="AO40" s="139"/>
      <c r="AP40" s="136"/>
      <c r="AQ40" s="136"/>
      <c r="AR40" s="136"/>
      <c r="AS40" s="136"/>
      <c r="AT40" s="136"/>
      <c r="AU40" s="136"/>
      <c r="AV40" s="136">
        <v>14</v>
      </c>
      <c r="AW40" s="136">
        <v>11</v>
      </c>
      <c r="AX40" s="136">
        <v>60</v>
      </c>
      <c r="AY40" s="140">
        <v>65</v>
      </c>
      <c r="AZ40" s="139">
        <v>64</v>
      </c>
      <c r="BA40" s="140">
        <v>86</v>
      </c>
      <c r="BB40" s="136">
        <f t="shared" si="0"/>
        <v>150</v>
      </c>
    </row>
    <row r="41" spans="2:54" ht="16" thickBot="1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43">
        <f>SUM(AZ30:AZ40)</f>
        <v>623</v>
      </c>
      <c r="BA41" s="143">
        <f>SUM(BA30:BA40)</f>
        <v>877</v>
      </c>
      <c r="BB41" s="143">
        <f>SUM(BB30:BB40)</f>
        <v>1500</v>
      </c>
    </row>
    <row r="42" spans="2:54" ht="16" thickBot="1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44">
        <f>AZ41/BB41</f>
        <v>0.41533333333333333</v>
      </c>
      <c r="BA42" s="144">
        <f>BA41/BB41</f>
        <v>0.58466666666666667</v>
      </c>
      <c r="BB42" s="144">
        <f>BB41/BB41</f>
        <v>1</v>
      </c>
    </row>
    <row r="43" spans="2:54" ht="16" thickBot="1" x14ac:dyDescent="0.2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</row>
    <row r="44" spans="2:54" ht="16" thickBot="1" x14ac:dyDescent="0.25">
      <c r="B44" s="126"/>
      <c r="C44" s="126"/>
      <c r="D44" s="126"/>
      <c r="E44" s="126"/>
      <c r="F44" s="1185" t="s">
        <v>671</v>
      </c>
      <c r="G44" s="1186"/>
      <c r="H44" s="1186"/>
      <c r="I44" s="1186"/>
      <c r="J44" s="1186"/>
      <c r="K44" s="1186"/>
      <c r="L44" s="1186"/>
      <c r="M44" s="1186"/>
      <c r="N44" s="1186"/>
      <c r="O44" s="1186"/>
      <c r="P44" s="1186"/>
      <c r="Q44" s="1186"/>
      <c r="R44" s="1186"/>
      <c r="S44" s="1186"/>
      <c r="T44" s="1186"/>
      <c r="U44" s="1186"/>
      <c r="V44" s="1187"/>
      <c r="W44" s="1185" t="s">
        <v>672</v>
      </c>
      <c r="X44" s="1186"/>
      <c r="Y44" s="1186"/>
      <c r="Z44" s="1186"/>
      <c r="AA44" s="1186"/>
      <c r="AB44" s="1186"/>
      <c r="AC44" s="1186"/>
      <c r="AD44" s="1186"/>
      <c r="AE44" s="1186"/>
      <c r="AF44" s="1187"/>
      <c r="AG44" s="126"/>
      <c r="AH44" s="126"/>
      <c r="AI44" s="126"/>
      <c r="AJ44" s="126"/>
      <c r="AK44" s="126"/>
      <c r="AL44" s="126"/>
      <c r="AM44" s="126"/>
      <c r="AN44" s="126"/>
      <c r="AO44" s="1185" t="s">
        <v>753</v>
      </c>
      <c r="AP44" s="1186"/>
      <c r="AQ44" s="1186"/>
      <c r="AR44" s="1186"/>
      <c r="AS44" s="1186"/>
      <c r="AT44" s="1186"/>
      <c r="AU44" s="1186"/>
      <c r="AV44" s="1186"/>
      <c r="AW44" s="1186"/>
      <c r="AX44" s="1186"/>
      <c r="AY44" s="1186"/>
      <c r="AZ44" s="1186"/>
      <c r="BA44" s="1186"/>
      <c r="BB44" s="1187"/>
    </row>
    <row r="45" spans="2:54" s="153" customFormat="1" ht="49" thickBot="1" x14ac:dyDescent="0.25">
      <c r="B45" s="100" t="s">
        <v>674</v>
      </c>
      <c r="C45" s="100" t="s">
        <v>250</v>
      </c>
      <c r="D45" s="100" t="s">
        <v>752</v>
      </c>
      <c r="E45" s="100" t="s">
        <v>251</v>
      </c>
      <c r="F45" s="154" t="s">
        <v>677</v>
      </c>
      <c r="G45" s="154" t="s">
        <v>678</v>
      </c>
      <c r="H45" s="154" t="s">
        <v>679</v>
      </c>
      <c r="I45" s="154" t="s">
        <v>680</v>
      </c>
      <c r="J45" s="154" t="s">
        <v>681</v>
      </c>
      <c r="K45" s="154" t="s">
        <v>682</v>
      </c>
      <c r="L45" s="154" t="s">
        <v>754</v>
      </c>
      <c r="M45" s="154" t="s">
        <v>755</v>
      </c>
      <c r="N45" s="154" t="s">
        <v>756</v>
      </c>
      <c r="O45" s="154" t="s">
        <v>757</v>
      </c>
      <c r="P45" s="154" t="s">
        <v>758</v>
      </c>
      <c r="Q45" s="154" t="s">
        <v>759</v>
      </c>
      <c r="R45" s="154" t="s">
        <v>760</v>
      </c>
      <c r="S45" s="154" t="s">
        <v>761</v>
      </c>
      <c r="T45" s="154" t="s">
        <v>762</v>
      </c>
      <c r="U45" s="154" t="s">
        <v>763</v>
      </c>
      <c r="V45" s="154" t="s">
        <v>764</v>
      </c>
      <c r="W45" s="154" t="s">
        <v>683</v>
      </c>
      <c r="X45" s="154" t="s">
        <v>684</v>
      </c>
      <c r="Y45" s="154" t="s">
        <v>685</v>
      </c>
      <c r="Z45" s="154" t="s">
        <v>686</v>
      </c>
      <c r="AA45" s="154" t="s">
        <v>687</v>
      </c>
      <c r="AB45" s="154" t="s">
        <v>688</v>
      </c>
      <c r="AC45" s="154" t="s">
        <v>689</v>
      </c>
      <c r="AD45" s="154" t="s">
        <v>690</v>
      </c>
      <c r="AE45" s="154" t="s">
        <v>691</v>
      </c>
      <c r="AF45" s="155" t="s">
        <v>692</v>
      </c>
      <c r="AG45" s="64"/>
      <c r="AH45" s="99" t="s">
        <v>674</v>
      </c>
      <c r="AI45" s="99" t="s">
        <v>250</v>
      </c>
      <c r="AJ45" s="99" t="s">
        <v>251</v>
      </c>
      <c r="AK45" s="99" t="s">
        <v>252</v>
      </c>
      <c r="AL45" s="99" t="s">
        <v>752</v>
      </c>
      <c r="AM45" s="99" t="s">
        <v>697</v>
      </c>
      <c r="AN45" s="152" t="s">
        <v>698</v>
      </c>
      <c r="AO45" s="154" t="s">
        <v>699</v>
      </c>
      <c r="AP45" s="154" t="s">
        <v>700</v>
      </c>
      <c r="AQ45" s="154" t="s">
        <v>701</v>
      </c>
      <c r="AR45" s="154" t="s">
        <v>702</v>
      </c>
      <c r="AS45" s="154" t="s">
        <v>703</v>
      </c>
      <c r="AT45" s="154" t="s">
        <v>704</v>
      </c>
      <c r="AU45" s="154" t="s">
        <v>705</v>
      </c>
      <c r="AV45" s="154" t="s">
        <v>706</v>
      </c>
      <c r="AW45" s="154" t="s">
        <v>707</v>
      </c>
      <c r="AX45" s="154" t="s">
        <v>708</v>
      </c>
      <c r="AY45" s="155" t="s">
        <v>709</v>
      </c>
      <c r="AZ45" s="108" t="s">
        <v>710</v>
      </c>
      <c r="BA45" s="108" t="s">
        <v>711</v>
      </c>
      <c r="BB45" s="108" t="s">
        <v>712</v>
      </c>
    </row>
    <row r="46" spans="2:54" ht="25" x14ac:dyDescent="0.2">
      <c r="B46" s="109">
        <v>37214103</v>
      </c>
      <c r="C46" s="117" t="s">
        <v>493</v>
      </c>
      <c r="D46" s="76">
        <v>6</v>
      </c>
      <c r="E46" s="129" t="s">
        <v>737</v>
      </c>
      <c r="F46" s="130"/>
      <c r="G46" s="131"/>
      <c r="H46" s="131"/>
      <c r="I46" s="131" t="s">
        <v>23</v>
      </c>
      <c r="J46" s="131"/>
      <c r="K46" s="131"/>
      <c r="L46" s="131" t="s">
        <v>23</v>
      </c>
      <c r="M46" s="131" t="s">
        <v>23</v>
      </c>
      <c r="N46" s="131"/>
      <c r="O46" s="131"/>
      <c r="P46" s="131"/>
      <c r="Q46" s="131" t="s">
        <v>23</v>
      </c>
      <c r="R46" s="131"/>
      <c r="S46" s="131"/>
      <c r="T46" s="131" t="s">
        <v>23</v>
      </c>
      <c r="U46" s="131"/>
      <c r="V46" s="132"/>
      <c r="W46" s="130"/>
      <c r="X46" s="131"/>
      <c r="Y46" s="131"/>
      <c r="Z46" s="131"/>
      <c r="AA46" s="131" t="s">
        <v>23</v>
      </c>
      <c r="AB46" s="131"/>
      <c r="AC46" s="131"/>
      <c r="AD46" s="131" t="s">
        <v>23</v>
      </c>
      <c r="AE46" s="131"/>
      <c r="AF46" s="132" t="s">
        <v>23</v>
      </c>
      <c r="AG46" s="126"/>
      <c r="AH46" s="109">
        <v>37214103</v>
      </c>
      <c r="AI46" s="117" t="s">
        <v>493</v>
      </c>
      <c r="AJ46" s="80" t="s">
        <v>737</v>
      </c>
      <c r="AK46" s="80" t="s">
        <v>284</v>
      </c>
      <c r="AL46" s="81">
        <v>6</v>
      </c>
      <c r="AM46" s="77" t="s">
        <v>732</v>
      </c>
      <c r="AN46" s="77"/>
      <c r="AO46" s="133"/>
      <c r="AP46" s="134"/>
      <c r="AQ46" s="134"/>
      <c r="AR46" s="134">
        <v>65</v>
      </c>
      <c r="AS46" s="134"/>
      <c r="AT46" s="134"/>
      <c r="AU46" s="134"/>
      <c r="AV46" s="134"/>
      <c r="AW46" s="134">
        <v>33</v>
      </c>
      <c r="AX46" s="134">
        <v>20</v>
      </c>
      <c r="AY46" s="135">
        <v>32</v>
      </c>
      <c r="AZ46" s="133">
        <v>65</v>
      </c>
      <c r="BA46" s="135">
        <v>85</v>
      </c>
      <c r="BB46" s="136">
        <f>SUM(AO46:AY46)</f>
        <v>150</v>
      </c>
    </row>
    <row r="47" spans="2:54" x14ac:dyDescent="0.2">
      <c r="B47" s="478">
        <v>37214108</v>
      </c>
      <c r="C47" s="473" t="s">
        <v>296</v>
      </c>
      <c r="D47" s="474">
        <v>12</v>
      </c>
      <c r="E47" s="475" t="s">
        <v>737</v>
      </c>
      <c r="F47" s="479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80"/>
      <c r="W47" s="479"/>
      <c r="X47" s="475"/>
      <c r="Y47" s="475"/>
      <c r="Z47" s="475"/>
      <c r="AA47" s="475"/>
      <c r="AB47" s="475"/>
      <c r="AC47" s="475"/>
      <c r="AD47" s="475"/>
      <c r="AE47" s="475"/>
      <c r="AF47" s="480"/>
      <c r="AG47" s="481"/>
      <c r="AH47" s="478">
        <v>37214108</v>
      </c>
      <c r="AI47" s="473" t="s">
        <v>296</v>
      </c>
      <c r="AJ47" s="476" t="s">
        <v>737</v>
      </c>
      <c r="AK47" s="80" t="s">
        <v>284</v>
      </c>
      <c r="AL47" s="81">
        <v>12</v>
      </c>
      <c r="AM47" s="82" t="s">
        <v>732</v>
      </c>
      <c r="AN47" s="82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9"/>
      <c r="BA47" s="136"/>
      <c r="BB47" s="136"/>
    </row>
    <row r="48" spans="2:54" x14ac:dyDescent="0.2">
      <c r="B48" s="478"/>
      <c r="C48" s="477" t="s">
        <v>777</v>
      </c>
      <c r="D48" s="474"/>
      <c r="E48" s="475" t="s">
        <v>737</v>
      </c>
      <c r="F48" s="479"/>
      <c r="G48" s="475"/>
      <c r="H48" s="475"/>
      <c r="I48" s="475"/>
      <c r="J48" s="475"/>
      <c r="K48" s="475"/>
      <c r="L48" s="475"/>
      <c r="M48" s="475" t="s">
        <v>23</v>
      </c>
      <c r="N48" s="475"/>
      <c r="O48" s="475"/>
      <c r="P48" s="475"/>
      <c r="Q48" s="475" t="s">
        <v>23</v>
      </c>
      <c r="R48" s="475"/>
      <c r="S48" s="475" t="s">
        <v>23</v>
      </c>
      <c r="T48" s="475" t="s">
        <v>23</v>
      </c>
      <c r="U48" s="475"/>
      <c r="V48" s="480"/>
      <c r="W48" s="479"/>
      <c r="X48" s="475"/>
      <c r="Y48" s="475"/>
      <c r="Z48" s="475"/>
      <c r="AA48" s="475" t="s">
        <v>23</v>
      </c>
      <c r="AB48" s="475"/>
      <c r="AC48" s="475"/>
      <c r="AD48" s="475" t="s">
        <v>23</v>
      </c>
      <c r="AE48" s="475"/>
      <c r="AF48" s="480" t="s">
        <v>23</v>
      </c>
      <c r="AG48" s="481"/>
      <c r="AH48" s="478"/>
      <c r="AI48" s="477" t="s">
        <v>777</v>
      </c>
      <c r="AJ48" s="476" t="s">
        <v>737</v>
      </c>
      <c r="AK48" s="80"/>
      <c r="AL48" s="81"/>
      <c r="AM48" s="82" t="s">
        <v>732</v>
      </c>
      <c r="AN48" s="82"/>
      <c r="AO48" s="139"/>
      <c r="AP48" s="136"/>
      <c r="AQ48" s="136"/>
      <c r="AR48" s="136">
        <v>56</v>
      </c>
      <c r="AS48" s="136"/>
      <c r="AT48" s="136">
        <v>29</v>
      </c>
      <c r="AU48" s="136">
        <v>6</v>
      </c>
      <c r="AV48" s="136"/>
      <c r="AW48" s="136"/>
      <c r="AX48" s="136">
        <v>10</v>
      </c>
      <c r="AY48" s="140">
        <v>49</v>
      </c>
      <c r="AZ48" s="139">
        <v>64</v>
      </c>
      <c r="BA48" s="140">
        <v>86</v>
      </c>
      <c r="BB48" s="136">
        <f t="shared" ref="BB48:BB56" si="1">SUM(AO48:AY48)</f>
        <v>150</v>
      </c>
    </row>
    <row r="49" spans="2:54" x14ac:dyDescent="0.2">
      <c r="B49" s="478"/>
      <c r="C49" s="477" t="s">
        <v>778</v>
      </c>
      <c r="D49" s="474"/>
      <c r="E49" s="475" t="s">
        <v>737</v>
      </c>
      <c r="F49" s="479"/>
      <c r="G49" s="475"/>
      <c r="H49" s="475"/>
      <c r="I49" s="475"/>
      <c r="J49" s="475"/>
      <c r="K49" s="475"/>
      <c r="L49" s="475" t="s">
        <v>23</v>
      </c>
      <c r="M49" s="475"/>
      <c r="N49" s="475"/>
      <c r="O49" s="475"/>
      <c r="P49" s="475"/>
      <c r="Q49" s="475"/>
      <c r="R49" s="475"/>
      <c r="S49" s="475"/>
      <c r="T49" s="475" t="s">
        <v>23</v>
      </c>
      <c r="U49" s="475" t="s">
        <v>23</v>
      </c>
      <c r="V49" s="480" t="s">
        <v>23</v>
      </c>
      <c r="W49" s="479"/>
      <c r="X49" s="475"/>
      <c r="Y49" s="475"/>
      <c r="Z49" s="475"/>
      <c r="AA49" s="475"/>
      <c r="AB49" s="475" t="s">
        <v>23</v>
      </c>
      <c r="AC49" s="475"/>
      <c r="AD49" s="475" t="s">
        <v>23</v>
      </c>
      <c r="AE49" s="475"/>
      <c r="AF49" s="480" t="s">
        <v>23</v>
      </c>
      <c r="AG49" s="481"/>
      <c r="AH49" s="478"/>
      <c r="AI49" s="477" t="s">
        <v>778</v>
      </c>
      <c r="AJ49" s="476" t="s">
        <v>737</v>
      </c>
      <c r="AK49" s="80"/>
      <c r="AL49" s="81"/>
      <c r="AM49" s="82" t="s">
        <v>732</v>
      </c>
      <c r="AN49" s="82"/>
      <c r="AO49" s="139"/>
      <c r="AP49" s="136"/>
      <c r="AQ49" s="136"/>
      <c r="AR49" s="136">
        <v>36</v>
      </c>
      <c r="AS49" s="136">
        <v>48</v>
      </c>
      <c r="AT49" s="136"/>
      <c r="AU49" s="136"/>
      <c r="AV49" s="136"/>
      <c r="AW49" s="136"/>
      <c r="AX49" s="136"/>
      <c r="AY49" s="140">
        <v>66</v>
      </c>
      <c r="AZ49" s="139">
        <v>60</v>
      </c>
      <c r="BA49" s="140">
        <v>90</v>
      </c>
      <c r="BB49" s="136">
        <f t="shared" si="1"/>
        <v>150</v>
      </c>
    </row>
    <row r="50" spans="2:54" ht="25" x14ac:dyDescent="0.2">
      <c r="B50" s="478">
        <v>37214110</v>
      </c>
      <c r="C50" s="473" t="s">
        <v>494</v>
      </c>
      <c r="D50" s="474">
        <v>6</v>
      </c>
      <c r="E50" s="475" t="s">
        <v>737</v>
      </c>
      <c r="F50" s="479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 t="s">
        <v>23</v>
      </c>
      <c r="R50" s="475"/>
      <c r="S50" s="475"/>
      <c r="T50" s="475" t="s">
        <v>23</v>
      </c>
      <c r="U50" s="475"/>
      <c r="V50" s="480" t="s">
        <v>23</v>
      </c>
      <c r="W50" s="479"/>
      <c r="X50" s="475"/>
      <c r="Y50" s="475"/>
      <c r="Z50" s="475"/>
      <c r="AA50" s="475"/>
      <c r="AB50" s="475" t="s">
        <v>23</v>
      </c>
      <c r="AC50" s="475"/>
      <c r="AD50" s="475" t="s">
        <v>23</v>
      </c>
      <c r="AE50" s="475"/>
      <c r="AF50" s="480" t="s">
        <v>23</v>
      </c>
      <c r="AG50" s="481"/>
      <c r="AH50" s="478">
        <v>37214110</v>
      </c>
      <c r="AI50" s="473" t="s">
        <v>494</v>
      </c>
      <c r="AJ50" s="476" t="s">
        <v>737</v>
      </c>
      <c r="AK50" s="80" t="s">
        <v>284</v>
      </c>
      <c r="AL50" s="81">
        <v>6</v>
      </c>
      <c r="AM50" s="82" t="s">
        <v>732</v>
      </c>
      <c r="AN50" s="82"/>
      <c r="AO50" s="139"/>
      <c r="AP50" s="136"/>
      <c r="AQ50" s="136"/>
      <c r="AR50" s="136">
        <v>39</v>
      </c>
      <c r="AS50" s="136"/>
      <c r="AT50" s="136"/>
      <c r="AU50" s="136">
        <v>33</v>
      </c>
      <c r="AV50" s="136"/>
      <c r="AW50" s="136"/>
      <c r="AX50" s="136">
        <v>32</v>
      </c>
      <c r="AY50" s="140">
        <v>46</v>
      </c>
      <c r="AZ50" s="139">
        <v>60</v>
      </c>
      <c r="BA50" s="140">
        <v>90</v>
      </c>
      <c r="BB50" s="136">
        <f t="shared" si="1"/>
        <v>150</v>
      </c>
    </row>
    <row r="51" spans="2:54" ht="37" x14ac:dyDescent="0.2">
      <c r="B51" s="478">
        <v>37214112</v>
      </c>
      <c r="C51" s="473" t="s">
        <v>495</v>
      </c>
      <c r="D51" s="474">
        <v>6</v>
      </c>
      <c r="E51" s="475" t="s">
        <v>737</v>
      </c>
      <c r="F51" s="479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 t="s">
        <v>23</v>
      </c>
      <c r="R51" s="475"/>
      <c r="S51" s="475"/>
      <c r="T51" s="475" t="s">
        <v>23</v>
      </c>
      <c r="U51" s="475"/>
      <c r="V51" s="480" t="s">
        <v>23</v>
      </c>
      <c r="W51" s="479"/>
      <c r="X51" s="475"/>
      <c r="Y51" s="475"/>
      <c r="Z51" s="475"/>
      <c r="AA51" s="475"/>
      <c r="AB51" s="475" t="s">
        <v>23</v>
      </c>
      <c r="AC51" s="475" t="s">
        <v>23</v>
      </c>
      <c r="AD51" s="475"/>
      <c r="AE51" s="475"/>
      <c r="AF51" s="480" t="s">
        <v>23</v>
      </c>
      <c r="AG51" s="481"/>
      <c r="AH51" s="478">
        <v>37214112</v>
      </c>
      <c r="AI51" s="473" t="s">
        <v>495</v>
      </c>
      <c r="AJ51" s="476" t="s">
        <v>737</v>
      </c>
      <c r="AK51" s="80" t="s">
        <v>284</v>
      </c>
      <c r="AL51" s="81">
        <v>6</v>
      </c>
      <c r="AM51" s="82" t="s">
        <v>732</v>
      </c>
      <c r="AN51" s="82"/>
      <c r="AO51" s="139">
        <v>10</v>
      </c>
      <c r="AP51" s="136"/>
      <c r="AQ51" s="136"/>
      <c r="AR51" s="136">
        <v>35</v>
      </c>
      <c r="AS51" s="136">
        <v>27</v>
      </c>
      <c r="AT51" s="136"/>
      <c r="AU51" s="136">
        <v>33</v>
      </c>
      <c r="AV51" s="136"/>
      <c r="AW51" s="136"/>
      <c r="AX51" s="136"/>
      <c r="AY51" s="140">
        <v>45</v>
      </c>
      <c r="AZ51" s="139">
        <v>60</v>
      </c>
      <c r="BA51" s="140">
        <v>90</v>
      </c>
      <c r="BB51" s="136">
        <f t="shared" si="1"/>
        <v>150</v>
      </c>
    </row>
    <row r="52" spans="2:54" x14ac:dyDescent="0.2">
      <c r="B52" s="114">
        <v>37214114</v>
      </c>
      <c r="C52" s="117" t="s">
        <v>303</v>
      </c>
      <c r="D52" s="81">
        <v>6</v>
      </c>
      <c r="E52" s="129" t="s">
        <v>737</v>
      </c>
      <c r="F52" s="137" t="s">
        <v>23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 t="s">
        <v>23</v>
      </c>
      <c r="R52" s="129"/>
      <c r="S52" s="129"/>
      <c r="T52" s="129" t="s">
        <v>23</v>
      </c>
      <c r="U52" s="129" t="s">
        <v>23</v>
      </c>
      <c r="V52" s="138" t="s">
        <v>23</v>
      </c>
      <c r="W52" s="137"/>
      <c r="X52" s="129"/>
      <c r="Y52" s="129"/>
      <c r="Z52" s="129"/>
      <c r="AA52" s="129" t="s">
        <v>23</v>
      </c>
      <c r="AB52" s="129"/>
      <c r="AC52" s="129"/>
      <c r="AD52" s="129"/>
      <c r="AE52" s="129"/>
      <c r="AF52" s="138"/>
      <c r="AG52" s="126"/>
      <c r="AH52" s="114">
        <v>37214114</v>
      </c>
      <c r="AI52" s="117" t="s">
        <v>303</v>
      </c>
      <c r="AJ52" s="80" t="s">
        <v>737</v>
      </c>
      <c r="AK52" s="80" t="s">
        <v>284</v>
      </c>
      <c r="AL52" s="81">
        <v>6</v>
      </c>
      <c r="AM52" s="82" t="s">
        <v>732</v>
      </c>
      <c r="AN52" s="82"/>
      <c r="AO52" s="139">
        <v>39</v>
      </c>
      <c r="AP52" s="136"/>
      <c r="AQ52" s="136"/>
      <c r="AR52" s="136"/>
      <c r="AS52" s="136"/>
      <c r="AT52" s="136">
        <v>10</v>
      </c>
      <c r="AU52" s="136">
        <v>9</v>
      </c>
      <c r="AV52" s="136"/>
      <c r="AW52" s="136">
        <v>30</v>
      </c>
      <c r="AX52" s="136">
        <v>62</v>
      </c>
      <c r="AY52" s="140"/>
      <c r="AZ52" s="139">
        <v>60</v>
      </c>
      <c r="BA52" s="140">
        <v>90</v>
      </c>
      <c r="BB52" s="136">
        <f t="shared" si="1"/>
        <v>150</v>
      </c>
    </row>
    <row r="53" spans="2:54" ht="37" x14ac:dyDescent="0.2">
      <c r="B53" s="114">
        <v>37214113</v>
      </c>
      <c r="C53" s="117" t="s">
        <v>496</v>
      </c>
      <c r="D53" s="81">
        <v>6</v>
      </c>
      <c r="E53" s="129" t="s">
        <v>737</v>
      </c>
      <c r="F53" s="137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 t="s">
        <v>23</v>
      </c>
      <c r="R53" s="129"/>
      <c r="S53" s="129"/>
      <c r="T53" s="129" t="s">
        <v>23</v>
      </c>
      <c r="U53" s="129"/>
      <c r="V53" s="138" t="s">
        <v>23</v>
      </c>
      <c r="W53" s="137"/>
      <c r="X53" s="129"/>
      <c r="Y53" s="129"/>
      <c r="Z53" s="129"/>
      <c r="AA53" s="129"/>
      <c r="AB53" s="129" t="s">
        <v>23</v>
      </c>
      <c r="AC53" s="129"/>
      <c r="AD53" s="129"/>
      <c r="AE53" s="129"/>
      <c r="AF53" s="138" t="s">
        <v>23</v>
      </c>
      <c r="AG53" s="126"/>
      <c r="AH53" s="114">
        <v>37214113</v>
      </c>
      <c r="AI53" s="117" t="s">
        <v>496</v>
      </c>
      <c r="AJ53" s="80" t="s">
        <v>737</v>
      </c>
      <c r="AK53" s="80" t="s">
        <v>284</v>
      </c>
      <c r="AL53" s="81">
        <v>6</v>
      </c>
      <c r="AM53" s="82" t="s">
        <v>720</v>
      </c>
      <c r="AN53" s="82"/>
      <c r="AO53" s="139"/>
      <c r="AP53" s="136"/>
      <c r="AQ53" s="136"/>
      <c r="AR53" s="136">
        <v>35</v>
      </c>
      <c r="AS53" s="136">
        <v>27</v>
      </c>
      <c r="AT53" s="136"/>
      <c r="AU53" s="136">
        <v>33</v>
      </c>
      <c r="AV53" s="136"/>
      <c r="AW53" s="136"/>
      <c r="AX53" s="136"/>
      <c r="AY53" s="140">
        <v>55</v>
      </c>
      <c r="AZ53" s="139">
        <v>60</v>
      </c>
      <c r="BA53" s="140">
        <v>90</v>
      </c>
      <c r="BB53" s="136">
        <f t="shared" si="1"/>
        <v>150</v>
      </c>
    </row>
    <row r="54" spans="2:54" ht="37" x14ac:dyDescent="0.2">
      <c r="B54" s="114">
        <v>37214117</v>
      </c>
      <c r="C54" s="117" t="s">
        <v>308</v>
      </c>
      <c r="D54" s="81">
        <v>6</v>
      </c>
      <c r="E54" s="129" t="s">
        <v>737</v>
      </c>
      <c r="F54" s="137"/>
      <c r="G54" s="129"/>
      <c r="H54" s="129"/>
      <c r="I54" s="129"/>
      <c r="J54" s="129"/>
      <c r="K54" s="129"/>
      <c r="L54" s="129"/>
      <c r="M54" s="129"/>
      <c r="N54" s="129" t="s">
        <v>23</v>
      </c>
      <c r="O54" s="129"/>
      <c r="P54" s="129"/>
      <c r="Q54" s="129"/>
      <c r="R54" s="129"/>
      <c r="S54" s="129" t="s">
        <v>23</v>
      </c>
      <c r="T54" s="129" t="s">
        <v>23</v>
      </c>
      <c r="U54" s="129"/>
      <c r="V54" s="138"/>
      <c r="W54" s="137"/>
      <c r="X54" s="129"/>
      <c r="Y54" s="129"/>
      <c r="Z54" s="129"/>
      <c r="AA54" s="129" t="s">
        <v>23</v>
      </c>
      <c r="AB54" s="129"/>
      <c r="AC54" s="129"/>
      <c r="AD54" s="129"/>
      <c r="AE54" s="129"/>
      <c r="AF54" s="138" t="s">
        <v>23</v>
      </c>
      <c r="AG54" s="126"/>
      <c r="AH54" s="114">
        <v>37214117</v>
      </c>
      <c r="AI54" s="117" t="s">
        <v>308</v>
      </c>
      <c r="AJ54" s="80" t="s">
        <v>737</v>
      </c>
      <c r="AK54" s="80" t="s">
        <v>284</v>
      </c>
      <c r="AL54" s="81">
        <v>6</v>
      </c>
      <c r="AM54" s="82" t="s">
        <v>720</v>
      </c>
      <c r="AN54" s="82"/>
      <c r="AO54" s="139"/>
      <c r="AP54" s="136"/>
      <c r="AQ54" s="136"/>
      <c r="AR54" s="136"/>
      <c r="AS54" s="136">
        <v>23</v>
      </c>
      <c r="AT54" s="136"/>
      <c r="AU54" s="136">
        <v>23</v>
      </c>
      <c r="AV54" s="136"/>
      <c r="AW54" s="136"/>
      <c r="AX54" s="136">
        <v>52</v>
      </c>
      <c r="AY54" s="140">
        <v>52</v>
      </c>
      <c r="AZ54" s="139">
        <v>60</v>
      </c>
      <c r="BA54" s="140">
        <v>90</v>
      </c>
      <c r="BB54" s="136">
        <f t="shared" si="1"/>
        <v>150</v>
      </c>
    </row>
    <row r="55" spans="2:54" ht="25" x14ac:dyDescent="0.2">
      <c r="B55" s="114">
        <v>37214118</v>
      </c>
      <c r="C55" s="117" t="s">
        <v>309</v>
      </c>
      <c r="D55" s="81">
        <v>6</v>
      </c>
      <c r="E55" s="129" t="s">
        <v>737</v>
      </c>
      <c r="F55" s="137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 t="s">
        <v>23</v>
      </c>
      <c r="R55" s="129"/>
      <c r="S55" s="129"/>
      <c r="T55" s="129" t="s">
        <v>23</v>
      </c>
      <c r="U55" s="129" t="s">
        <v>23</v>
      </c>
      <c r="V55" s="138"/>
      <c r="W55" s="137"/>
      <c r="X55" s="129"/>
      <c r="Y55" s="129"/>
      <c r="Z55" s="129"/>
      <c r="AA55" s="129" t="s">
        <v>23</v>
      </c>
      <c r="AB55" s="129"/>
      <c r="AC55" s="129"/>
      <c r="AD55" s="129"/>
      <c r="AE55" s="129"/>
      <c r="AF55" s="138" t="s">
        <v>23</v>
      </c>
      <c r="AG55" s="126"/>
      <c r="AH55" s="114">
        <v>37214118</v>
      </c>
      <c r="AI55" s="117" t="s">
        <v>309</v>
      </c>
      <c r="AJ55" s="80" t="s">
        <v>737</v>
      </c>
      <c r="AK55" s="80" t="s">
        <v>284</v>
      </c>
      <c r="AL55" s="81">
        <v>6</v>
      </c>
      <c r="AM55" s="82" t="s">
        <v>732</v>
      </c>
      <c r="AN55" s="82"/>
      <c r="AO55" s="139"/>
      <c r="AP55" s="136"/>
      <c r="AQ55" s="136">
        <v>23</v>
      </c>
      <c r="AR55" s="136"/>
      <c r="AS55" s="136"/>
      <c r="AT55" s="136"/>
      <c r="AU55" s="136"/>
      <c r="AV55" s="136"/>
      <c r="AW55" s="136">
        <v>40</v>
      </c>
      <c r="AX55" s="136"/>
      <c r="AY55" s="140">
        <v>87</v>
      </c>
      <c r="AZ55" s="139">
        <v>60</v>
      </c>
      <c r="BA55" s="140">
        <v>90</v>
      </c>
      <c r="BB55" s="136">
        <f t="shared" si="1"/>
        <v>150</v>
      </c>
    </row>
    <row r="56" spans="2:54" ht="50" thickBot="1" x14ac:dyDescent="0.25">
      <c r="B56" s="114">
        <v>37214121</v>
      </c>
      <c r="C56" s="117" t="s">
        <v>497</v>
      </c>
      <c r="D56" s="81">
        <v>6</v>
      </c>
      <c r="E56" s="129" t="s">
        <v>737</v>
      </c>
      <c r="F56" s="137"/>
      <c r="G56" s="129"/>
      <c r="H56" s="129"/>
      <c r="I56" s="129"/>
      <c r="J56" s="129"/>
      <c r="K56" s="129"/>
      <c r="L56" s="129"/>
      <c r="M56" s="129"/>
      <c r="N56" s="129" t="s">
        <v>23</v>
      </c>
      <c r="O56" s="129"/>
      <c r="P56" s="129"/>
      <c r="Q56" s="129"/>
      <c r="R56" s="129"/>
      <c r="S56" s="129" t="s">
        <v>23</v>
      </c>
      <c r="T56" s="129"/>
      <c r="U56" s="129" t="s">
        <v>23</v>
      </c>
      <c r="V56" s="138" t="s">
        <v>23</v>
      </c>
      <c r="W56" s="137"/>
      <c r="X56" s="129"/>
      <c r="Y56" s="129"/>
      <c r="Z56" s="129"/>
      <c r="AA56" s="129" t="s">
        <v>23</v>
      </c>
      <c r="AB56" s="129"/>
      <c r="AC56" s="129"/>
      <c r="AD56" s="129" t="s">
        <v>23</v>
      </c>
      <c r="AE56" s="129"/>
      <c r="AF56" s="138" t="s">
        <v>23</v>
      </c>
      <c r="AG56" s="126"/>
      <c r="AH56" s="114">
        <v>37214121</v>
      </c>
      <c r="AI56" s="117" t="s">
        <v>497</v>
      </c>
      <c r="AJ56" s="80" t="s">
        <v>737</v>
      </c>
      <c r="AK56" s="80" t="s">
        <v>284</v>
      </c>
      <c r="AL56" s="81">
        <v>6</v>
      </c>
      <c r="AM56" s="82" t="s">
        <v>720</v>
      </c>
      <c r="AN56" s="82"/>
      <c r="AO56" s="139">
        <v>10</v>
      </c>
      <c r="AP56" s="136"/>
      <c r="AQ56" s="136"/>
      <c r="AR56" s="136">
        <v>30</v>
      </c>
      <c r="AS56" s="136">
        <v>21</v>
      </c>
      <c r="AT56" s="136">
        <v>6</v>
      </c>
      <c r="AU56" s="136">
        <v>5</v>
      </c>
      <c r="AV56" s="136"/>
      <c r="AW56" s="136">
        <v>21</v>
      </c>
      <c r="AX56" s="136">
        <v>21</v>
      </c>
      <c r="AY56" s="140">
        <v>36</v>
      </c>
      <c r="AZ56" s="139">
        <v>60</v>
      </c>
      <c r="BA56" s="140">
        <v>90</v>
      </c>
      <c r="BB56" s="136">
        <f t="shared" si="1"/>
        <v>150</v>
      </c>
    </row>
    <row r="57" spans="2:54" ht="16" thickBot="1" x14ac:dyDescent="0.25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43">
        <f>SUM(AZ46:AZ56)</f>
        <v>609</v>
      </c>
      <c r="BA57" s="143">
        <f>SUM(BA46:BA56)</f>
        <v>891</v>
      </c>
      <c r="BB57" s="143">
        <f>SUM(BB46:BB56)</f>
        <v>1500</v>
      </c>
    </row>
    <row r="58" spans="2:54" ht="16" thickBot="1" x14ac:dyDescent="0.25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44">
        <f>AZ57/BB57</f>
        <v>0.40600000000000003</v>
      </c>
      <c r="BA58" s="144">
        <f>BA57/BB57</f>
        <v>0.59399999999999997</v>
      </c>
      <c r="BB58" s="144">
        <f>BB57/BB57</f>
        <v>1</v>
      </c>
    </row>
    <row r="59" spans="2:54" x14ac:dyDescent="0.2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</row>
    <row r="60" spans="2:54" ht="16" thickBot="1" x14ac:dyDescent="0.25"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</row>
    <row r="61" spans="2:54" ht="16" thickBot="1" x14ac:dyDescent="0.25">
      <c r="B61" s="126"/>
      <c r="C61" s="126"/>
      <c r="D61" s="126"/>
      <c r="E61" s="126"/>
      <c r="F61" s="1185" t="s">
        <v>671</v>
      </c>
      <c r="G61" s="1186"/>
      <c r="H61" s="1186"/>
      <c r="I61" s="1186"/>
      <c r="J61" s="1186"/>
      <c r="K61" s="1186"/>
      <c r="L61" s="1186"/>
      <c r="M61" s="1186"/>
      <c r="N61" s="1186"/>
      <c r="O61" s="1186"/>
      <c r="P61" s="1186"/>
      <c r="Q61" s="1186"/>
      <c r="R61" s="1186"/>
      <c r="S61" s="1186"/>
      <c r="T61" s="1186"/>
      <c r="U61" s="1186"/>
      <c r="V61" s="1187"/>
      <c r="W61" s="1185" t="s">
        <v>672</v>
      </c>
      <c r="X61" s="1186"/>
      <c r="Y61" s="1186"/>
      <c r="Z61" s="1186"/>
      <c r="AA61" s="1186"/>
      <c r="AB61" s="1186"/>
      <c r="AC61" s="1186"/>
      <c r="AD61" s="1186"/>
      <c r="AE61" s="1186"/>
      <c r="AF61" s="1187"/>
      <c r="AG61" s="126"/>
      <c r="AH61" s="126"/>
      <c r="AI61" s="126"/>
      <c r="AJ61" s="126"/>
      <c r="AK61" s="126"/>
      <c r="AL61" s="126"/>
      <c r="AM61" s="126"/>
      <c r="AN61" s="126"/>
      <c r="AO61" s="1188" t="s">
        <v>753</v>
      </c>
      <c r="AP61" s="1189"/>
      <c r="AQ61" s="1189"/>
      <c r="AR61" s="1189"/>
      <c r="AS61" s="1189"/>
      <c r="AT61" s="1189"/>
      <c r="AU61" s="1189"/>
      <c r="AV61" s="1189"/>
      <c r="AW61" s="1189"/>
      <c r="AX61" s="1189"/>
      <c r="AY61" s="1189"/>
      <c r="AZ61" s="1189"/>
      <c r="BA61" s="1189"/>
      <c r="BB61" s="1190"/>
    </row>
    <row r="62" spans="2:54" ht="50" thickBot="1" x14ac:dyDescent="0.25">
      <c r="B62" s="100" t="s">
        <v>674</v>
      </c>
      <c r="C62" s="100" t="s">
        <v>250</v>
      </c>
      <c r="D62" s="100" t="s">
        <v>752</v>
      </c>
      <c r="E62" s="100" t="s">
        <v>251</v>
      </c>
      <c r="F62" s="127" t="s">
        <v>677</v>
      </c>
      <c r="G62" s="127" t="s">
        <v>678</v>
      </c>
      <c r="H62" s="127" t="s">
        <v>679</v>
      </c>
      <c r="I62" s="127" t="s">
        <v>680</v>
      </c>
      <c r="J62" s="127" t="s">
        <v>681</v>
      </c>
      <c r="K62" s="127" t="s">
        <v>682</v>
      </c>
      <c r="L62" s="127" t="s">
        <v>754</v>
      </c>
      <c r="M62" s="127" t="s">
        <v>755</v>
      </c>
      <c r="N62" s="127" t="s">
        <v>756</v>
      </c>
      <c r="O62" s="127" t="s">
        <v>757</v>
      </c>
      <c r="P62" s="127" t="s">
        <v>758</v>
      </c>
      <c r="Q62" s="127" t="s">
        <v>759</v>
      </c>
      <c r="R62" s="127" t="s">
        <v>760</v>
      </c>
      <c r="S62" s="127" t="s">
        <v>761</v>
      </c>
      <c r="T62" s="127" t="s">
        <v>762</v>
      </c>
      <c r="U62" s="127" t="s">
        <v>763</v>
      </c>
      <c r="V62" s="127" t="s">
        <v>764</v>
      </c>
      <c r="W62" s="127" t="s">
        <v>683</v>
      </c>
      <c r="X62" s="127" t="s">
        <v>684</v>
      </c>
      <c r="Y62" s="127" t="s">
        <v>685</v>
      </c>
      <c r="Z62" s="127" t="s">
        <v>686</v>
      </c>
      <c r="AA62" s="127" t="s">
        <v>687</v>
      </c>
      <c r="AB62" s="127" t="s">
        <v>688</v>
      </c>
      <c r="AC62" s="127" t="s">
        <v>689</v>
      </c>
      <c r="AD62" s="127" t="s">
        <v>690</v>
      </c>
      <c r="AE62" s="127" t="s">
        <v>691</v>
      </c>
      <c r="AF62" s="128" t="s">
        <v>692</v>
      </c>
      <c r="AG62" s="126"/>
      <c r="AH62" s="120" t="s">
        <v>674</v>
      </c>
      <c r="AI62" s="120" t="s">
        <v>250</v>
      </c>
      <c r="AJ62" s="120" t="s">
        <v>676</v>
      </c>
      <c r="AK62" s="120" t="s">
        <v>252</v>
      </c>
      <c r="AL62" s="120" t="s">
        <v>675</v>
      </c>
      <c r="AM62" s="120" t="s">
        <v>697</v>
      </c>
      <c r="AN62" s="120" t="s">
        <v>698</v>
      </c>
      <c r="AO62" s="147" t="s">
        <v>699</v>
      </c>
      <c r="AP62" s="147" t="s">
        <v>700</v>
      </c>
      <c r="AQ62" s="147" t="s">
        <v>701</v>
      </c>
      <c r="AR62" s="147" t="s">
        <v>702</v>
      </c>
      <c r="AS62" s="147" t="s">
        <v>703</v>
      </c>
      <c r="AT62" s="147" t="s">
        <v>704</v>
      </c>
      <c r="AU62" s="147" t="s">
        <v>705</v>
      </c>
      <c r="AV62" s="147" t="s">
        <v>706</v>
      </c>
      <c r="AW62" s="147" t="s">
        <v>707</v>
      </c>
      <c r="AX62" s="147" t="s">
        <v>708</v>
      </c>
      <c r="AY62" s="147" t="s">
        <v>709</v>
      </c>
      <c r="AZ62" s="121" t="s">
        <v>710</v>
      </c>
      <c r="BA62" s="121" t="s">
        <v>711</v>
      </c>
      <c r="BB62" s="121" t="s">
        <v>712</v>
      </c>
    </row>
    <row r="63" spans="2:54" ht="25" x14ac:dyDescent="0.2">
      <c r="B63" s="109">
        <v>37214111</v>
      </c>
      <c r="C63" s="117" t="s">
        <v>779</v>
      </c>
      <c r="D63" s="76">
        <v>6</v>
      </c>
      <c r="E63" s="129" t="s">
        <v>739</v>
      </c>
      <c r="F63" s="130"/>
      <c r="G63" s="131"/>
      <c r="H63" s="131"/>
      <c r="I63" s="131"/>
      <c r="J63" s="131" t="s">
        <v>23</v>
      </c>
      <c r="K63" s="131"/>
      <c r="L63" s="131"/>
      <c r="M63" s="131"/>
      <c r="N63" s="131"/>
      <c r="O63" s="131"/>
      <c r="P63" s="131"/>
      <c r="Q63" s="131"/>
      <c r="R63" s="131"/>
      <c r="S63" s="131" t="s">
        <v>23</v>
      </c>
      <c r="T63" s="131" t="s">
        <v>23</v>
      </c>
      <c r="U63" s="131"/>
      <c r="V63" s="132" t="s">
        <v>23</v>
      </c>
      <c r="W63" s="130"/>
      <c r="X63" s="131"/>
      <c r="Y63" s="131"/>
      <c r="Z63" s="131"/>
      <c r="AA63" s="131"/>
      <c r="AB63" s="131"/>
      <c r="AC63" s="131" t="s">
        <v>23</v>
      </c>
      <c r="AD63" s="131" t="s">
        <v>23</v>
      </c>
      <c r="AE63" s="131"/>
      <c r="AF63" s="132" t="s">
        <v>23</v>
      </c>
      <c r="AG63" s="126"/>
      <c r="AH63" s="118">
        <v>37214111</v>
      </c>
      <c r="AI63" s="117" t="s">
        <v>779</v>
      </c>
      <c r="AJ63" s="129" t="s">
        <v>739</v>
      </c>
      <c r="AK63" s="80" t="s">
        <v>284</v>
      </c>
      <c r="AL63" s="81">
        <v>6</v>
      </c>
      <c r="AM63" s="81" t="s">
        <v>732</v>
      </c>
      <c r="AN63" s="81"/>
      <c r="AO63" s="136">
        <v>10</v>
      </c>
      <c r="AP63" s="136"/>
      <c r="AQ63" s="136"/>
      <c r="AR63" s="136">
        <v>10</v>
      </c>
      <c r="AS63" s="136">
        <v>20</v>
      </c>
      <c r="AT63" s="136">
        <v>12</v>
      </c>
      <c r="AU63" s="136">
        <v>12</v>
      </c>
      <c r="AV63" s="136"/>
      <c r="AW63" s="136"/>
      <c r="AX63" s="136">
        <v>30</v>
      </c>
      <c r="AY63" s="136">
        <v>56</v>
      </c>
      <c r="AZ63" s="136">
        <v>64</v>
      </c>
      <c r="BA63" s="136">
        <v>86</v>
      </c>
      <c r="BB63" s="136">
        <f t="shared" ref="BB63:BB69" si="2">SUM(AO63:AY63)</f>
        <v>150</v>
      </c>
    </row>
    <row r="64" spans="2:54" ht="25" x14ac:dyDescent="0.2">
      <c r="B64" s="114">
        <v>37214115</v>
      </c>
      <c r="C64" s="117" t="s">
        <v>305</v>
      </c>
      <c r="D64" s="81">
        <v>6</v>
      </c>
      <c r="E64" s="129" t="s">
        <v>739</v>
      </c>
      <c r="F64" s="137"/>
      <c r="G64" s="129" t="s">
        <v>23</v>
      </c>
      <c r="H64" s="129"/>
      <c r="I64" s="129"/>
      <c r="J64" s="129"/>
      <c r="K64" s="129"/>
      <c r="L64" s="129"/>
      <c r="M64" s="129"/>
      <c r="N64" s="129" t="s">
        <v>23</v>
      </c>
      <c r="O64" s="129"/>
      <c r="P64" s="129"/>
      <c r="Q64" s="129" t="s">
        <v>23</v>
      </c>
      <c r="R64" s="129"/>
      <c r="S64" s="129" t="s">
        <v>23</v>
      </c>
      <c r="T64" s="129" t="s">
        <v>23</v>
      </c>
      <c r="U64" s="129"/>
      <c r="V64" s="138" t="s">
        <v>23</v>
      </c>
      <c r="W64" s="137"/>
      <c r="X64" s="129"/>
      <c r="Y64" s="129"/>
      <c r="Z64" s="129"/>
      <c r="AA64" s="129" t="s">
        <v>23</v>
      </c>
      <c r="AB64" s="129"/>
      <c r="AC64" s="129"/>
      <c r="AD64" s="129"/>
      <c r="AE64" s="129"/>
      <c r="AF64" s="138" t="s">
        <v>23</v>
      </c>
      <c r="AG64" s="126"/>
      <c r="AH64" s="118">
        <v>37214115</v>
      </c>
      <c r="AI64" s="117" t="s">
        <v>305</v>
      </c>
      <c r="AJ64" s="129" t="s">
        <v>739</v>
      </c>
      <c r="AK64" s="80" t="s">
        <v>284</v>
      </c>
      <c r="AL64" s="81">
        <v>6</v>
      </c>
      <c r="AM64" s="81" t="s">
        <v>732</v>
      </c>
      <c r="AN64" s="81"/>
      <c r="AO64" s="136"/>
      <c r="AP64" s="136"/>
      <c r="AQ64" s="136"/>
      <c r="AR64" s="136">
        <v>22</v>
      </c>
      <c r="AS64" s="136"/>
      <c r="AT64" s="136"/>
      <c r="AU64" s="136">
        <v>33</v>
      </c>
      <c r="AV64" s="136"/>
      <c r="AW64" s="136">
        <v>32</v>
      </c>
      <c r="AX64" s="136">
        <v>33</v>
      </c>
      <c r="AY64" s="136">
        <v>30</v>
      </c>
      <c r="AZ64" s="136">
        <v>60</v>
      </c>
      <c r="BA64" s="136">
        <v>90</v>
      </c>
      <c r="BB64" s="136">
        <f t="shared" si="2"/>
        <v>150</v>
      </c>
    </row>
    <row r="65" spans="2:54" x14ac:dyDescent="0.2">
      <c r="B65" s="114">
        <v>37214119</v>
      </c>
      <c r="C65" s="117" t="s">
        <v>312</v>
      </c>
      <c r="D65" s="81">
        <v>6</v>
      </c>
      <c r="E65" s="129" t="s">
        <v>739</v>
      </c>
      <c r="F65" s="137"/>
      <c r="G65" s="129" t="s">
        <v>23</v>
      </c>
      <c r="H65" s="129"/>
      <c r="I65" s="129"/>
      <c r="J65" s="129"/>
      <c r="K65" s="129"/>
      <c r="L65" s="129"/>
      <c r="M65" s="129" t="s">
        <v>23</v>
      </c>
      <c r="N65" s="129"/>
      <c r="O65" s="129"/>
      <c r="P65" s="129"/>
      <c r="Q65" s="129"/>
      <c r="R65" s="129"/>
      <c r="S65" s="129" t="s">
        <v>23</v>
      </c>
      <c r="T65" s="129" t="s">
        <v>23</v>
      </c>
      <c r="U65" s="129"/>
      <c r="V65" s="138" t="s">
        <v>23</v>
      </c>
      <c r="W65" s="137"/>
      <c r="X65" s="129"/>
      <c r="Y65" s="129"/>
      <c r="Z65" s="129"/>
      <c r="AA65" s="129"/>
      <c r="AB65" s="129" t="s">
        <v>23</v>
      </c>
      <c r="AC65" s="129"/>
      <c r="AD65" s="129"/>
      <c r="AE65" s="129"/>
      <c r="AF65" s="138" t="s">
        <v>23</v>
      </c>
      <c r="AG65" s="126"/>
      <c r="AH65" s="118">
        <v>37214119</v>
      </c>
      <c r="AI65" s="117" t="s">
        <v>312</v>
      </c>
      <c r="AJ65" s="129" t="s">
        <v>739</v>
      </c>
      <c r="AK65" s="80" t="s">
        <v>284</v>
      </c>
      <c r="AL65" s="81">
        <v>6</v>
      </c>
      <c r="AM65" s="81" t="s">
        <v>732</v>
      </c>
      <c r="AN65" s="81"/>
      <c r="AO65" s="136"/>
      <c r="AP65" s="136"/>
      <c r="AQ65" s="136"/>
      <c r="AR65" s="136"/>
      <c r="AS65" s="136"/>
      <c r="AT65" s="136"/>
      <c r="AU65" s="136">
        <v>24</v>
      </c>
      <c r="AV65" s="136"/>
      <c r="AW65" s="136"/>
      <c r="AX65" s="136">
        <v>30</v>
      </c>
      <c r="AY65" s="136">
        <v>96</v>
      </c>
      <c r="AZ65" s="136">
        <v>60</v>
      </c>
      <c r="BA65" s="136">
        <v>90</v>
      </c>
      <c r="BB65" s="136">
        <f t="shared" si="2"/>
        <v>150</v>
      </c>
    </row>
    <row r="66" spans="2:54" ht="37" x14ac:dyDescent="0.2">
      <c r="B66" s="114">
        <v>37214120</v>
      </c>
      <c r="C66" s="117" t="s">
        <v>498</v>
      </c>
      <c r="D66" s="81">
        <v>6</v>
      </c>
      <c r="E66" s="129" t="s">
        <v>739</v>
      </c>
      <c r="F66" s="137"/>
      <c r="G66" s="129"/>
      <c r="H66" s="129"/>
      <c r="I66" s="129"/>
      <c r="J66" s="129"/>
      <c r="K66" s="129"/>
      <c r="L66" s="129"/>
      <c r="M66" s="129"/>
      <c r="N66" s="129" t="s">
        <v>23</v>
      </c>
      <c r="O66" s="129"/>
      <c r="P66" s="129"/>
      <c r="Q66" s="129"/>
      <c r="R66" s="129"/>
      <c r="S66" s="129"/>
      <c r="T66" s="129" t="s">
        <v>23</v>
      </c>
      <c r="U66" s="129" t="s">
        <v>23</v>
      </c>
      <c r="V66" s="138" t="s">
        <v>23</v>
      </c>
      <c r="W66" s="137"/>
      <c r="X66" s="129"/>
      <c r="Y66" s="129"/>
      <c r="Z66" s="129"/>
      <c r="AA66" s="129" t="s">
        <v>23</v>
      </c>
      <c r="AB66" s="129"/>
      <c r="AC66" s="129"/>
      <c r="AD66" s="129"/>
      <c r="AE66" s="129"/>
      <c r="AF66" s="138" t="s">
        <v>23</v>
      </c>
      <c r="AG66" s="126"/>
      <c r="AH66" s="118">
        <v>37214120</v>
      </c>
      <c r="AI66" s="117" t="s">
        <v>498</v>
      </c>
      <c r="AJ66" s="129" t="s">
        <v>739</v>
      </c>
      <c r="AK66" s="80" t="s">
        <v>284</v>
      </c>
      <c r="AL66" s="81">
        <v>6</v>
      </c>
      <c r="AM66" s="81" t="s">
        <v>732</v>
      </c>
      <c r="AN66" s="81"/>
      <c r="AO66" s="136"/>
      <c r="AP66" s="136"/>
      <c r="AQ66" s="136"/>
      <c r="AR66" s="136">
        <v>42</v>
      </c>
      <c r="AS66" s="136"/>
      <c r="AT66" s="136"/>
      <c r="AU66" s="136">
        <v>22</v>
      </c>
      <c r="AV66" s="136"/>
      <c r="AW66" s="136">
        <v>66</v>
      </c>
      <c r="AX66" s="136"/>
      <c r="AY66" s="136">
        <v>20</v>
      </c>
      <c r="AZ66" s="136">
        <v>60</v>
      </c>
      <c r="BA66" s="136">
        <v>90</v>
      </c>
      <c r="BB66" s="136">
        <f t="shared" si="2"/>
        <v>150</v>
      </c>
    </row>
    <row r="67" spans="2:54" ht="25" x14ac:dyDescent="0.2">
      <c r="B67" s="114">
        <v>37214201</v>
      </c>
      <c r="C67" s="117" t="s">
        <v>499</v>
      </c>
      <c r="D67" s="81">
        <v>6</v>
      </c>
      <c r="E67" s="129" t="s">
        <v>739</v>
      </c>
      <c r="F67" s="137" t="s">
        <v>23</v>
      </c>
      <c r="G67" s="129"/>
      <c r="H67" s="129"/>
      <c r="I67" s="129"/>
      <c r="J67" s="129" t="s">
        <v>23</v>
      </c>
      <c r="K67" s="129"/>
      <c r="L67" s="129"/>
      <c r="M67" s="129" t="s">
        <v>23</v>
      </c>
      <c r="N67" s="129" t="s">
        <v>23</v>
      </c>
      <c r="O67" s="129"/>
      <c r="P67" s="129"/>
      <c r="Q67" s="129" t="s">
        <v>23</v>
      </c>
      <c r="R67" s="129"/>
      <c r="S67" s="129" t="s">
        <v>23</v>
      </c>
      <c r="T67" s="129" t="s">
        <v>23</v>
      </c>
      <c r="U67" s="129"/>
      <c r="V67" s="138" t="s">
        <v>23</v>
      </c>
      <c r="W67" s="137"/>
      <c r="X67" s="129"/>
      <c r="Y67" s="129"/>
      <c r="Z67" s="129"/>
      <c r="AA67" s="129"/>
      <c r="AB67" s="129" t="s">
        <v>23</v>
      </c>
      <c r="AC67" s="129"/>
      <c r="AD67" s="129" t="s">
        <v>23</v>
      </c>
      <c r="AE67" s="129"/>
      <c r="AF67" s="138" t="s">
        <v>23</v>
      </c>
      <c r="AG67" s="126"/>
      <c r="AH67" s="118">
        <v>37214201</v>
      </c>
      <c r="AI67" s="117" t="s">
        <v>499</v>
      </c>
      <c r="AJ67" s="129" t="s">
        <v>739</v>
      </c>
      <c r="AK67" s="80" t="s">
        <v>317</v>
      </c>
      <c r="AL67" s="81">
        <v>6</v>
      </c>
      <c r="AM67" s="81" t="s">
        <v>720</v>
      </c>
      <c r="AN67" s="81"/>
      <c r="AO67" s="136"/>
      <c r="AP67" s="136"/>
      <c r="AQ67" s="136"/>
      <c r="AR67" s="136">
        <v>35</v>
      </c>
      <c r="AS67" s="136">
        <v>25</v>
      </c>
      <c r="AT67" s="136">
        <v>20</v>
      </c>
      <c r="AU67" s="136">
        <v>20</v>
      </c>
      <c r="AV67" s="136"/>
      <c r="AW67" s="136">
        <v>30</v>
      </c>
      <c r="AX67" s="136"/>
      <c r="AY67" s="136">
        <v>20</v>
      </c>
      <c r="AZ67" s="136">
        <v>55</v>
      </c>
      <c r="BA67" s="136">
        <v>95</v>
      </c>
      <c r="BB67" s="136">
        <f t="shared" si="2"/>
        <v>150</v>
      </c>
    </row>
    <row r="68" spans="2:54" ht="49" x14ac:dyDescent="0.2">
      <c r="B68" s="114">
        <v>37214202</v>
      </c>
      <c r="C68" s="117" t="s">
        <v>780</v>
      </c>
      <c r="D68" s="81">
        <v>6</v>
      </c>
      <c r="E68" s="129" t="s">
        <v>739</v>
      </c>
      <c r="F68" s="137"/>
      <c r="G68" s="129"/>
      <c r="H68" s="129"/>
      <c r="I68" s="129"/>
      <c r="J68" s="129"/>
      <c r="K68" s="129"/>
      <c r="L68" s="129"/>
      <c r="M68" s="129"/>
      <c r="N68" s="129" t="s">
        <v>23</v>
      </c>
      <c r="O68" s="129"/>
      <c r="P68" s="129"/>
      <c r="Q68" s="129"/>
      <c r="R68" s="129"/>
      <c r="S68" s="129"/>
      <c r="T68" s="129" t="s">
        <v>23</v>
      </c>
      <c r="U68" s="129"/>
      <c r="V68" s="138" t="s">
        <v>23</v>
      </c>
      <c r="W68" s="137"/>
      <c r="X68" s="129"/>
      <c r="Y68" s="129" t="s">
        <v>23</v>
      </c>
      <c r="Z68" s="129"/>
      <c r="AA68" s="129"/>
      <c r="AB68" s="129"/>
      <c r="AC68" s="129" t="s">
        <v>23</v>
      </c>
      <c r="AD68" s="129" t="s">
        <v>23</v>
      </c>
      <c r="AE68" s="129"/>
      <c r="AF68" s="138"/>
      <c r="AG68" s="126"/>
      <c r="AH68" s="118">
        <v>37214202</v>
      </c>
      <c r="AI68" s="117" t="s">
        <v>780</v>
      </c>
      <c r="AJ68" s="129" t="s">
        <v>739</v>
      </c>
      <c r="AK68" s="80" t="s">
        <v>317</v>
      </c>
      <c r="AL68" s="81">
        <v>6</v>
      </c>
      <c r="AM68" s="81" t="s">
        <v>720</v>
      </c>
      <c r="AN68" s="81"/>
      <c r="AO68" s="136"/>
      <c r="AP68" s="136"/>
      <c r="AQ68" s="136"/>
      <c r="AR68" s="136"/>
      <c r="AS68" s="136">
        <v>67</v>
      </c>
      <c r="AT68" s="136">
        <v>11</v>
      </c>
      <c r="AU68" s="136">
        <v>11</v>
      </c>
      <c r="AV68" s="136">
        <v>6</v>
      </c>
      <c r="AW68" s="136"/>
      <c r="AX68" s="136"/>
      <c r="AY68" s="136">
        <v>55</v>
      </c>
      <c r="AZ68" s="136">
        <v>60</v>
      </c>
      <c r="BA68" s="136">
        <v>90</v>
      </c>
      <c r="BB68" s="136">
        <f t="shared" si="2"/>
        <v>150</v>
      </c>
    </row>
    <row r="69" spans="2:54" ht="37" x14ac:dyDescent="0.2">
      <c r="B69" s="114">
        <v>37214203</v>
      </c>
      <c r="C69" s="117" t="s">
        <v>501</v>
      </c>
      <c r="D69" s="81">
        <v>6</v>
      </c>
      <c r="E69" s="129" t="s">
        <v>739</v>
      </c>
      <c r="F69" s="137"/>
      <c r="G69" s="129"/>
      <c r="H69" s="129"/>
      <c r="I69" s="129"/>
      <c r="J69" s="129" t="s">
        <v>23</v>
      </c>
      <c r="K69" s="129"/>
      <c r="L69" s="129"/>
      <c r="M69" s="129" t="s">
        <v>23</v>
      </c>
      <c r="N69" s="129" t="s">
        <v>23</v>
      </c>
      <c r="O69" s="129"/>
      <c r="P69" s="129"/>
      <c r="Q69" s="129"/>
      <c r="R69" s="129"/>
      <c r="S69" s="129" t="s">
        <v>23</v>
      </c>
      <c r="T69" s="129" t="s">
        <v>23</v>
      </c>
      <c r="U69" s="129"/>
      <c r="V69" s="138" t="s">
        <v>23</v>
      </c>
      <c r="W69" s="137"/>
      <c r="X69" s="129"/>
      <c r="Y69" s="129"/>
      <c r="Z69" s="129"/>
      <c r="AA69" s="129" t="s">
        <v>23</v>
      </c>
      <c r="AB69" s="129"/>
      <c r="AC69" s="129"/>
      <c r="AD69" s="129" t="s">
        <v>23</v>
      </c>
      <c r="AE69" s="129"/>
      <c r="AF69" s="138" t="s">
        <v>23</v>
      </c>
      <c r="AG69" s="126"/>
      <c r="AH69" s="118">
        <v>37214203</v>
      </c>
      <c r="AI69" s="117" t="s">
        <v>501</v>
      </c>
      <c r="AJ69" s="129" t="s">
        <v>739</v>
      </c>
      <c r="AK69" s="80" t="s">
        <v>317</v>
      </c>
      <c r="AL69" s="81">
        <v>6</v>
      </c>
      <c r="AM69" s="81" t="s">
        <v>720</v>
      </c>
      <c r="AN69" s="81"/>
      <c r="AO69" s="136"/>
      <c r="AP69" s="136"/>
      <c r="AQ69" s="136"/>
      <c r="AR69" s="136">
        <v>25</v>
      </c>
      <c r="AS69" s="136">
        <v>50</v>
      </c>
      <c r="AT69" s="136"/>
      <c r="AU69" s="136">
        <v>5</v>
      </c>
      <c r="AV69" s="136"/>
      <c r="AW69" s="136">
        <v>25</v>
      </c>
      <c r="AX69" s="136">
        <v>45</v>
      </c>
      <c r="AY69" s="136"/>
      <c r="AZ69" s="136">
        <v>55</v>
      </c>
      <c r="BA69" s="136">
        <v>95</v>
      </c>
      <c r="BB69" s="136">
        <f t="shared" si="2"/>
        <v>150</v>
      </c>
    </row>
    <row r="70" spans="2:54" ht="37" x14ac:dyDescent="0.2">
      <c r="B70" s="114">
        <v>37214204</v>
      </c>
      <c r="C70" s="729" t="s">
        <v>1481</v>
      </c>
      <c r="D70" s="728">
        <v>6</v>
      </c>
      <c r="E70" s="114" t="s">
        <v>739</v>
      </c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26"/>
      <c r="AH70" s="122">
        <v>37214204</v>
      </c>
      <c r="AI70" s="123" t="s">
        <v>1481</v>
      </c>
      <c r="AJ70" s="148" t="s">
        <v>739</v>
      </c>
      <c r="AK70" s="124" t="s">
        <v>317</v>
      </c>
      <c r="AL70" s="125">
        <v>6</v>
      </c>
      <c r="AM70" s="125" t="s">
        <v>720</v>
      </c>
      <c r="AN70" s="125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</row>
    <row r="71" spans="2:54" ht="37" x14ac:dyDescent="0.2">
      <c r="B71" s="114">
        <v>37214206</v>
      </c>
      <c r="C71" s="117" t="s">
        <v>975</v>
      </c>
      <c r="D71" s="81">
        <v>6</v>
      </c>
      <c r="E71" s="129" t="s">
        <v>739</v>
      </c>
      <c r="F71" s="137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38"/>
      <c r="W71" s="137"/>
      <c r="X71" s="129"/>
      <c r="Y71" s="129"/>
      <c r="Z71" s="129"/>
      <c r="AA71" s="129"/>
      <c r="AB71" s="129"/>
      <c r="AC71" s="129"/>
      <c r="AD71" s="129"/>
      <c r="AE71" s="129"/>
      <c r="AF71" s="138"/>
      <c r="AG71" s="126"/>
      <c r="AH71" s="477">
        <v>37214206</v>
      </c>
      <c r="AI71" s="473" t="s">
        <v>975</v>
      </c>
      <c r="AJ71" s="475" t="s">
        <v>739</v>
      </c>
      <c r="AK71" s="476" t="s">
        <v>317</v>
      </c>
      <c r="AL71" s="474">
        <v>6</v>
      </c>
      <c r="AM71" s="474" t="s">
        <v>720</v>
      </c>
      <c r="AN71" s="474"/>
      <c r="AO71" s="482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</row>
    <row r="72" spans="2:54" x14ac:dyDescent="0.2">
      <c r="B72" s="114">
        <v>37214401</v>
      </c>
      <c r="C72" s="117" t="s">
        <v>320</v>
      </c>
      <c r="D72" s="81">
        <v>12</v>
      </c>
      <c r="E72" s="129" t="s">
        <v>739</v>
      </c>
      <c r="F72" s="137" t="s">
        <v>23</v>
      </c>
      <c r="G72" s="129"/>
      <c r="H72" s="129"/>
      <c r="I72" s="129" t="s">
        <v>23</v>
      </c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38"/>
      <c r="W72" s="137" t="s">
        <v>23</v>
      </c>
      <c r="X72" s="129" t="s">
        <v>23</v>
      </c>
      <c r="Y72" s="129"/>
      <c r="Z72" s="129"/>
      <c r="AA72" s="129"/>
      <c r="AB72" s="129"/>
      <c r="AC72" s="129"/>
      <c r="AD72" s="129"/>
      <c r="AE72" s="129"/>
      <c r="AF72" s="138"/>
      <c r="AG72" s="126"/>
      <c r="AH72" s="118">
        <v>37214401</v>
      </c>
      <c r="AI72" s="117" t="s">
        <v>320</v>
      </c>
      <c r="AJ72" s="129" t="s">
        <v>739</v>
      </c>
      <c r="AK72" s="80" t="s">
        <v>284</v>
      </c>
      <c r="AL72" s="81">
        <v>12</v>
      </c>
      <c r="AM72" s="81" t="s">
        <v>720</v>
      </c>
      <c r="AN72" s="81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</row>
    <row r="73" spans="2:54" x14ac:dyDescent="0.2">
      <c r="B73" s="114">
        <v>37214301</v>
      </c>
      <c r="C73" s="117" t="s">
        <v>503</v>
      </c>
      <c r="D73" s="81">
        <v>12</v>
      </c>
      <c r="E73" s="129" t="s">
        <v>739</v>
      </c>
      <c r="F73" s="137" t="s">
        <v>23</v>
      </c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 t="s">
        <v>23</v>
      </c>
      <c r="T73" s="129"/>
      <c r="U73" s="129"/>
      <c r="V73" s="138"/>
      <c r="W73" s="137"/>
      <c r="X73" s="129"/>
      <c r="Y73" s="129"/>
      <c r="Z73" s="129"/>
      <c r="AA73" s="129"/>
      <c r="AB73" s="129"/>
      <c r="AC73" s="129"/>
      <c r="AD73" s="129"/>
      <c r="AE73" s="129" t="s">
        <v>23</v>
      </c>
      <c r="AF73" s="138"/>
      <c r="AG73" s="126"/>
      <c r="AH73" s="118">
        <v>37214301</v>
      </c>
      <c r="AI73" s="117" t="s">
        <v>503</v>
      </c>
      <c r="AJ73" s="129" t="s">
        <v>739</v>
      </c>
      <c r="AK73" s="80" t="s">
        <v>284</v>
      </c>
      <c r="AL73" s="81">
        <v>12</v>
      </c>
      <c r="AM73" s="81" t="s">
        <v>732</v>
      </c>
      <c r="AN73" s="81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</row>
    <row r="74" spans="2:54" ht="16" thickBot="1" x14ac:dyDescent="0.25">
      <c r="B74" s="3" t="s">
        <v>1483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51">
        <f>SUM(AZ63:AZ73)</f>
        <v>414</v>
      </c>
      <c r="BA74" s="151">
        <f>SUM(BA63:BA73)</f>
        <v>636</v>
      </c>
      <c r="BB74" s="151">
        <f>SUM(BB63:BB73)</f>
        <v>1050</v>
      </c>
    </row>
    <row r="75" spans="2:54" ht="16" thickBot="1" x14ac:dyDescent="0.25">
      <c r="B75" s="3" t="s">
        <v>68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44">
        <f>AZ74/BB74</f>
        <v>0.39428571428571429</v>
      </c>
      <c r="BA75" s="144">
        <f>BA74/BB74</f>
        <v>0.60571428571428576</v>
      </c>
      <c r="BB75" s="144">
        <f>BB74/BB74</f>
        <v>1</v>
      </c>
    </row>
  </sheetData>
  <mergeCells count="12">
    <mergeCell ref="F61:V61"/>
    <mergeCell ref="W61:AF61"/>
    <mergeCell ref="AO61:BB61"/>
    <mergeCell ref="F12:V12"/>
    <mergeCell ref="W12:AF12"/>
    <mergeCell ref="AO12:BB12"/>
    <mergeCell ref="F28:V28"/>
    <mergeCell ref="W28:AF28"/>
    <mergeCell ref="AO28:BB28"/>
    <mergeCell ref="F44:V44"/>
    <mergeCell ref="W44:AF44"/>
    <mergeCell ref="AO44:BB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Presentació</vt:lpstr>
      <vt:lpstr>Estàndard 1</vt:lpstr>
      <vt:lpstr>Estàndard 2</vt:lpstr>
      <vt:lpstr>Estàndard 3</vt:lpstr>
      <vt:lpstr>Estàndard 4</vt:lpstr>
      <vt:lpstr>Estàndard 5</vt:lpstr>
      <vt:lpstr>Estàndard 6</vt:lpstr>
      <vt:lpstr>Taula 42.1 FISIO</vt:lpstr>
      <vt:lpstr>Taula 42.2 CAFE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Euses</dc:creator>
  <cp:lastModifiedBy>Rafel Magrinya Vinyes</cp:lastModifiedBy>
  <cp:lastPrinted>2023-12-13T08:02:36Z</cp:lastPrinted>
  <dcterms:created xsi:type="dcterms:W3CDTF">2021-05-19T13:33:11Z</dcterms:created>
  <dcterms:modified xsi:type="dcterms:W3CDTF">2024-02-15T12:51:57Z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2024-01-10T04:52:42Z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78f3a279-48c8-4670-9162-a63c451c9fae</vt:lpwstr>
  </property>
  <property fmtid="{D5CDD505-2E9C-101B-9397-08002B2CF9AE}" pid="7" name="MSIP_Label_defa4170-0d19-0005-0004-bc88714345d2_ActionId">
    <vt:lpwstr>28118791-51ad-46f9-9d8a-cfe98982d930</vt:lpwstr>
  </property>
  <property fmtid="{D5CDD505-2E9C-101B-9397-08002B2CF9AE}" pid="8" name="MSIP_Label_defa4170-0d19-0005-0004-bc88714345d2_ContentBits">
    <vt:lpwstr>0</vt:lpwstr>
  </property>
</Properties>
</file>