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drawings/drawing6.xml" ContentType="application/vnd.openxmlformats-officedocument.drawing+xml"/>
  <Override PartName="/xl/embeddings/oleObject2.bin" ContentType="application/vnd.openxmlformats-officedocument.oleObject"/>
  <Override PartName="/xl/drawings/drawing7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Qualitat\EUSES TE\Qualitat URV\2020-2021\"/>
    </mc:Choice>
  </mc:AlternateContent>
  <xr:revisionPtr revIDLastSave="0" documentId="13_ncr:1_{9E93B4CF-6082-4577-ADEA-335B837B4686}" xr6:coauthVersionLast="47" xr6:coauthVersionMax="47" xr10:uidLastSave="{00000000-0000-0000-0000-000000000000}"/>
  <bookViews>
    <workbookView xWindow="20370" yWindow="-120" windowWidth="20730" windowHeight="11160" xr2:uid="{7B97F561-F5D4-4367-9889-A7D18E862B8F}"/>
  </bookViews>
  <sheets>
    <sheet name="Presentació" sheetId="1" r:id="rId1"/>
    <sheet name="Estàndard 1" sheetId="2" r:id="rId2"/>
    <sheet name="Estàndard 2" sheetId="10" r:id="rId3"/>
    <sheet name="Estàndard 3" sheetId="4" r:id="rId4"/>
    <sheet name="Estàndard 4" sheetId="5" r:id="rId5"/>
    <sheet name="Estàndard 5" sheetId="6" r:id="rId6"/>
    <sheet name="Estàndard 6" sheetId="7" r:id="rId7"/>
    <sheet name="Taula 42.1 FISIO" sheetId="8" r:id="rId8"/>
    <sheet name="Taula 42.2 CAFE" sheetId="9" r:id="rId9"/>
  </sheets>
  <externalReferences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6" l="1"/>
  <c r="J78" i="6"/>
  <c r="K78" i="6"/>
  <c r="G380" i="7" l="1"/>
  <c r="F380" i="7"/>
  <c r="D380" i="7"/>
  <c r="F420" i="7"/>
  <c r="F421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7" i="7"/>
  <c r="H368" i="7"/>
  <c r="H369" i="7"/>
  <c r="H371" i="7"/>
  <c r="H372" i="7"/>
  <c r="H373" i="7"/>
  <c r="H374" i="7"/>
  <c r="H375" i="7"/>
  <c r="H376" i="7"/>
  <c r="H377" i="7"/>
  <c r="H333" i="7"/>
  <c r="H327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291" i="7"/>
  <c r="H235" i="7"/>
  <c r="H279" i="7"/>
  <c r="H198" i="7"/>
  <c r="H193" i="7"/>
  <c r="H194" i="7"/>
  <c r="H195" i="7"/>
  <c r="H196" i="7"/>
  <c r="H197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192" i="7"/>
  <c r="L78" i="6"/>
  <c r="M78" i="6"/>
  <c r="M61" i="5"/>
  <c r="H230" i="7" l="1"/>
  <c r="M486" i="7" l="1"/>
  <c r="K487" i="7"/>
  <c r="G440" i="7"/>
  <c r="G439" i="7"/>
  <c r="G438" i="7"/>
  <c r="G437" i="7"/>
  <c r="G436" i="7"/>
  <c r="G435" i="7"/>
  <c r="G434" i="7"/>
  <c r="G433" i="7"/>
  <c r="G432" i="7"/>
  <c r="G431" i="7"/>
  <c r="G430" i="7"/>
  <c r="G429" i="7"/>
  <c r="G428" i="7"/>
  <c r="G427" i="7"/>
  <c r="G426" i="7"/>
  <c r="G425" i="7"/>
  <c r="F387" i="7"/>
  <c r="F388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9" i="7"/>
  <c r="H270" i="7"/>
  <c r="H271" i="7"/>
  <c r="H273" i="7"/>
  <c r="H274" i="7"/>
  <c r="H275" i="7"/>
  <c r="H276" i="7"/>
  <c r="H277" i="7"/>
  <c r="H278" i="7"/>
  <c r="H280" i="7"/>
  <c r="F149" i="6"/>
  <c r="F148" i="6"/>
  <c r="F125" i="6"/>
  <c r="F124" i="6"/>
  <c r="M76" i="6"/>
  <c r="L76" i="6"/>
  <c r="K76" i="6"/>
  <c r="J76" i="6"/>
  <c r="I76" i="6"/>
  <c r="K82" i="5"/>
  <c r="J82" i="5"/>
  <c r="I82" i="5"/>
  <c r="K76" i="5"/>
  <c r="J76" i="5"/>
  <c r="I76" i="5"/>
  <c r="K61" i="5"/>
  <c r="J61" i="5"/>
  <c r="I61" i="5"/>
  <c r="H328" i="7" l="1"/>
  <c r="L82" i="5"/>
  <c r="G61" i="5"/>
  <c r="L60" i="5"/>
  <c r="E61" i="5"/>
  <c r="L59" i="5"/>
  <c r="L61" i="5" l="1"/>
  <c r="K241" i="2" l="1"/>
  <c r="D17" i="1"/>
  <c r="E17" i="1"/>
  <c r="F17" i="1"/>
  <c r="G17" i="1"/>
  <c r="H17" i="1"/>
  <c r="I17" i="1"/>
  <c r="J17" i="1"/>
  <c r="K17" i="1"/>
  <c r="D33" i="1"/>
  <c r="E33" i="1"/>
  <c r="F33" i="1"/>
  <c r="G33" i="1"/>
  <c r="H33" i="1"/>
  <c r="I33" i="1"/>
  <c r="J33" i="1"/>
  <c r="K33" i="1"/>
  <c r="D49" i="1"/>
  <c r="E49" i="1"/>
  <c r="F49" i="1"/>
  <c r="G49" i="1"/>
  <c r="H49" i="1"/>
  <c r="I49" i="1"/>
  <c r="J49" i="1"/>
  <c r="K49" i="1"/>
  <c r="D60" i="1"/>
  <c r="E60" i="1"/>
  <c r="F60" i="1"/>
  <c r="D70" i="1"/>
  <c r="E70" i="1"/>
  <c r="F70" i="1"/>
  <c r="G70" i="1"/>
  <c r="H70" i="1"/>
  <c r="I70" i="1"/>
  <c r="J70" i="1"/>
  <c r="K70" i="1"/>
  <c r="D80" i="1"/>
  <c r="E80" i="1"/>
  <c r="F80" i="1"/>
  <c r="G80" i="1"/>
  <c r="H80" i="1"/>
  <c r="I80" i="1"/>
  <c r="J80" i="1"/>
  <c r="K80" i="1"/>
  <c r="I24" i="6" l="1"/>
  <c r="D148" i="7"/>
  <c r="D27" i="7"/>
  <c r="F174" i="6" l="1"/>
  <c r="F173" i="6"/>
  <c r="H256" i="5" l="1"/>
  <c r="F256" i="5"/>
  <c r="H259" i="5"/>
  <c r="F259" i="5"/>
  <c r="E259" i="5"/>
  <c r="E261" i="5"/>
  <c r="E260" i="5"/>
  <c r="H260" i="5"/>
  <c r="E256" i="5"/>
  <c r="H261" i="5"/>
  <c r="F260" i="5"/>
  <c r="H257" i="5"/>
  <c r="F257" i="5"/>
  <c r="E257" i="5"/>
  <c r="BA73" i="9" l="1"/>
  <c r="AZ73" i="9"/>
  <c r="BB69" i="9"/>
  <c r="BB68" i="9"/>
  <c r="BB67" i="9"/>
  <c r="BB66" i="9"/>
  <c r="BB65" i="9"/>
  <c r="BB64" i="9"/>
  <c r="BB73" i="9" s="1"/>
  <c r="BB74" i="9" s="1"/>
  <c r="BB63" i="9"/>
  <c r="BA57" i="9"/>
  <c r="AZ57" i="9"/>
  <c r="BB56" i="9"/>
  <c r="BB55" i="9"/>
  <c r="BB54" i="9"/>
  <c r="BB53" i="9"/>
  <c r="BB52" i="9"/>
  <c r="BB51" i="9"/>
  <c r="BB50" i="9"/>
  <c r="BB49" i="9"/>
  <c r="BB48" i="9"/>
  <c r="BB46" i="9"/>
  <c r="BA41" i="9"/>
  <c r="AZ41" i="9"/>
  <c r="BB40" i="9"/>
  <c r="BB39" i="9"/>
  <c r="BB38" i="9"/>
  <c r="BB37" i="9"/>
  <c r="BB36" i="9"/>
  <c r="BB35" i="9"/>
  <c r="BB33" i="9"/>
  <c r="BB32" i="9"/>
  <c r="BB31" i="9"/>
  <c r="BB30" i="9"/>
  <c r="BB25" i="9"/>
  <c r="BB26" i="9" s="1"/>
  <c r="BA25" i="9"/>
  <c r="BA26" i="9" s="1"/>
  <c r="AZ25" i="9"/>
  <c r="AZ26" i="9" s="1"/>
  <c r="BB41" i="9" l="1"/>
  <c r="BB57" i="9"/>
  <c r="AZ58" i="9" s="1"/>
  <c r="AZ42" i="9"/>
  <c r="BB42" i="9"/>
  <c r="BA42" i="9"/>
  <c r="BA58" i="9"/>
  <c r="AZ74" i="9"/>
  <c r="BB58" i="9"/>
  <c r="BA74" i="9"/>
  <c r="AU83" i="8" l="1"/>
  <c r="AU84" i="8" s="1"/>
  <c r="AT83" i="8"/>
  <c r="AT84" i="8" s="1"/>
  <c r="AS83" i="8"/>
  <c r="AS84" i="8" s="1"/>
  <c r="BX25" i="8"/>
  <c r="BX26" i="8" s="1"/>
  <c r="BW25" i="8"/>
  <c r="BV25" i="8"/>
  <c r="BJ25" i="8"/>
  <c r="BJ26" i="8" s="1"/>
  <c r="BI25" i="8"/>
  <c r="BH25" i="8"/>
  <c r="AU25" i="8"/>
  <c r="AT25" i="8"/>
  <c r="AS25" i="8"/>
  <c r="BX42" i="8"/>
  <c r="BX43" i="8" s="1"/>
  <c r="BW42" i="8"/>
  <c r="BV42" i="8"/>
  <c r="BJ42" i="8"/>
  <c r="BJ43" i="8" s="1"/>
  <c r="BI42" i="8"/>
  <c r="BH42" i="8"/>
  <c r="AT42" i="8"/>
  <c r="AS42" i="8"/>
  <c r="AT62" i="8"/>
  <c r="AS62" i="8"/>
  <c r="BX83" i="8"/>
  <c r="BX84" i="8" s="1"/>
  <c r="BW83" i="8"/>
  <c r="BV83" i="8"/>
  <c r="BJ83" i="8"/>
  <c r="BI83" i="8"/>
  <c r="BH83" i="8"/>
  <c r="BX62" i="8"/>
  <c r="BX63" i="8" s="1"/>
  <c r="BW62" i="8"/>
  <c r="BV62" i="8"/>
  <c r="BJ62" i="8"/>
  <c r="BJ63" i="8" s="1"/>
  <c r="BI62" i="8"/>
  <c r="BH62" i="8"/>
  <c r="AU61" i="8"/>
  <c r="AU59" i="8"/>
  <c r="AU58" i="8"/>
  <c r="AU57" i="8"/>
  <c r="AU56" i="8"/>
  <c r="AU55" i="8"/>
  <c r="AU54" i="8"/>
  <c r="AU53" i="8"/>
  <c r="AU52" i="8"/>
  <c r="AU51" i="8"/>
  <c r="AU50" i="8"/>
  <c r="AU49" i="8"/>
  <c r="AU48" i="8"/>
  <c r="AU47" i="8"/>
  <c r="AU41" i="8"/>
  <c r="AU40" i="8"/>
  <c r="AU39" i="8"/>
  <c r="AU38" i="8"/>
  <c r="AU37" i="8"/>
  <c r="AU36" i="8"/>
  <c r="AU35" i="8"/>
  <c r="AU34" i="8"/>
  <c r="AU33" i="8"/>
  <c r="AU32" i="8"/>
  <c r="AU31" i="8"/>
  <c r="AU30" i="8"/>
  <c r="J66" i="6"/>
  <c r="K66" i="6"/>
  <c r="L66" i="6"/>
  <c r="M66" i="6"/>
  <c r="I66" i="6"/>
  <c r="J59" i="6"/>
  <c r="K59" i="6"/>
  <c r="L59" i="6"/>
  <c r="M59" i="6"/>
  <c r="I59" i="6"/>
  <c r="BW43" i="8" l="1"/>
  <c r="AT26" i="8"/>
  <c r="BH26" i="8"/>
  <c r="BI26" i="8"/>
  <c r="BV26" i="8"/>
  <c r="BW26" i="8"/>
  <c r="AS26" i="8"/>
  <c r="BV43" i="8"/>
  <c r="AU26" i="8"/>
  <c r="AU42" i="8"/>
  <c r="AU43" i="8" s="1"/>
  <c r="BW63" i="8"/>
  <c r="BH43" i="8"/>
  <c r="BI43" i="8"/>
  <c r="AU62" i="8"/>
  <c r="AU63" i="8" s="1"/>
  <c r="BH84" i="8"/>
  <c r="AS63" i="8"/>
  <c r="BV84" i="8"/>
  <c r="BW84" i="8"/>
  <c r="BH63" i="8"/>
  <c r="BI63" i="8"/>
  <c r="BI84" i="8"/>
  <c r="BJ84" i="8"/>
  <c r="BV63" i="8"/>
  <c r="AT63" i="8" l="1"/>
  <c r="AT43" i="8"/>
  <c r="AS43" i="8"/>
  <c r="H23" i="5" l="1"/>
  <c r="G23" i="5"/>
  <c r="E23" i="5"/>
  <c r="F19" i="5"/>
  <c r="E19" i="5"/>
  <c r="G19" i="5"/>
  <c r="H19" i="5"/>
  <c r="I19" i="5"/>
  <c r="I21" i="5" l="1"/>
  <c r="I23" i="5" s="1"/>
  <c r="F21" i="5"/>
  <c r="F23" i="5" s="1"/>
  <c r="G36" i="5" l="1"/>
  <c r="H16" i="6" l="1"/>
  <c r="G282" i="7" l="1"/>
  <c r="F282" i="7"/>
  <c r="D282" i="7"/>
  <c r="J681" i="7"/>
  <c r="J680" i="7"/>
  <c r="I680" i="7"/>
  <c r="J679" i="7"/>
  <c r="J678" i="7"/>
  <c r="H678" i="7"/>
  <c r="J677" i="7"/>
  <c r="I677" i="7"/>
  <c r="H677" i="7"/>
  <c r="U550" i="7"/>
  <c r="S550" i="7"/>
  <c r="Q550" i="7"/>
  <c r="O550" i="7"/>
  <c r="M550" i="7"/>
  <c r="K550" i="7"/>
  <c r="G550" i="7"/>
  <c r="U549" i="7"/>
  <c r="S549" i="7"/>
  <c r="Q549" i="7"/>
  <c r="O549" i="7"/>
  <c r="M549" i="7"/>
  <c r="K549" i="7"/>
  <c r="G549" i="7"/>
  <c r="G328" i="7"/>
  <c r="F328" i="7"/>
  <c r="D328" i="7"/>
  <c r="F230" i="7"/>
  <c r="D230" i="7"/>
  <c r="S487" i="7"/>
  <c r="Q487" i="7"/>
  <c r="O487" i="7"/>
  <c r="M487" i="7"/>
  <c r="G487" i="7"/>
  <c r="S486" i="7"/>
  <c r="Q486" i="7"/>
  <c r="O486" i="7"/>
  <c r="K486" i="7"/>
  <c r="G486" i="7"/>
  <c r="U485" i="7"/>
  <c r="V485" i="7" s="1"/>
  <c r="T485" i="7"/>
  <c r="R485" i="7"/>
  <c r="P485" i="7"/>
  <c r="N485" i="7"/>
  <c r="L485" i="7"/>
  <c r="U484" i="7"/>
  <c r="V484" i="7" s="1"/>
  <c r="T484" i="7"/>
  <c r="R484" i="7"/>
  <c r="P484" i="7"/>
  <c r="N484" i="7"/>
  <c r="L484" i="7"/>
  <c r="U482" i="7"/>
  <c r="V482" i="7" s="1"/>
  <c r="T482" i="7"/>
  <c r="R482" i="7"/>
  <c r="P482" i="7"/>
  <c r="N482" i="7"/>
  <c r="L482" i="7"/>
  <c r="U481" i="7"/>
  <c r="V481" i="7" s="1"/>
  <c r="T481" i="7"/>
  <c r="R481" i="7"/>
  <c r="P481" i="7"/>
  <c r="N481" i="7"/>
  <c r="L481" i="7"/>
  <c r="U480" i="7"/>
  <c r="V480" i="7" s="1"/>
  <c r="T480" i="7"/>
  <c r="R480" i="7"/>
  <c r="P480" i="7"/>
  <c r="N480" i="7"/>
  <c r="L480" i="7"/>
  <c r="U479" i="7"/>
  <c r="V479" i="7" s="1"/>
  <c r="T479" i="7"/>
  <c r="R479" i="7"/>
  <c r="P479" i="7"/>
  <c r="N479" i="7"/>
  <c r="L479" i="7"/>
  <c r="U478" i="7"/>
  <c r="V478" i="7" s="1"/>
  <c r="T478" i="7"/>
  <c r="R478" i="7"/>
  <c r="P478" i="7"/>
  <c r="N478" i="7"/>
  <c r="L478" i="7"/>
  <c r="U477" i="7"/>
  <c r="V477" i="7" s="1"/>
  <c r="T477" i="7"/>
  <c r="R477" i="7"/>
  <c r="P477" i="7"/>
  <c r="N477" i="7"/>
  <c r="L477" i="7"/>
  <c r="U476" i="7"/>
  <c r="V476" i="7" s="1"/>
  <c r="T476" i="7"/>
  <c r="R476" i="7"/>
  <c r="P476" i="7"/>
  <c r="N476" i="7"/>
  <c r="L476" i="7"/>
  <c r="U475" i="7"/>
  <c r="V475" i="7" s="1"/>
  <c r="T475" i="7"/>
  <c r="R475" i="7"/>
  <c r="P475" i="7"/>
  <c r="N475" i="7"/>
  <c r="L475" i="7"/>
  <c r="U474" i="7"/>
  <c r="V474" i="7" s="1"/>
  <c r="T474" i="7"/>
  <c r="R474" i="7"/>
  <c r="P474" i="7"/>
  <c r="N474" i="7"/>
  <c r="L474" i="7"/>
  <c r="U473" i="7"/>
  <c r="V473" i="7" s="1"/>
  <c r="T473" i="7"/>
  <c r="R473" i="7"/>
  <c r="P473" i="7"/>
  <c r="N473" i="7"/>
  <c r="L473" i="7"/>
  <c r="U472" i="7"/>
  <c r="V472" i="7" s="1"/>
  <c r="T472" i="7"/>
  <c r="R472" i="7"/>
  <c r="P472" i="7"/>
  <c r="N472" i="7"/>
  <c r="L472" i="7"/>
  <c r="U471" i="7"/>
  <c r="V471" i="7" s="1"/>
  <c r="T471" i="7"/>
  <c r="R471" i="7"/>
  <c r="P471" i="7"/>
  <c r="N471" i="7"/>
  <c r="L471" i="7"/>
  <c r="U470" i="7"/>
  <c r="V470" i="7" s="1"/>
  <c r="T470" i="7"/>
  <c r="R470" i="7"/>
  <c r="P470" i="7"/>
  <c r="N470" i="7"/>
  <c r="L470" i="7"/>
  <c r="U469" i="7"/>
  <c r="V469" i="7" s="1"/>
  <c r="T469" i="7"/>
  <c r="R469" i="7"/>
  <c r="P469" i="7"/>
  <c r="N469" i="7"/>
  <c r="L469" i="7"/>
  <c r="U468" i="7"/>
  <c r="V468" i="7" s="1"/>
  <c r="T468" i="7"/>
  <c r="R468" i="7"/>
  <c r="P468" i="7"/>
  <c r="N468" i="7"/>
  <c r="L468" i="7"/>
  <c r="U467" i="7"/>
  <c r="V467" i="7" s="1"/>
  <c r="T467" i="7"/>
  <c r="R467" i="7"/>
  <c r="P467" i="7"/>
  <c r="N467" i="7"/>
  <c r="L467" i="7"/>
  <c r="U466" i="7"/>
  <c r="V466" i="7" s="1"/>
  <c r="T466" i="7"/>
  <c r="R466" i="7"/>
  <c r="P466" i="7"/>
  <c r="N466" i="7"/>
  <c r="L466" i="7"/>
  <c r="U465" i="7"/>
  <c r="V465" i="7" s="1"/>
  <c r="T465" i="7"/>
  <c r="R465" i="7"/>
  <c r="P465" i="7"/>
  <c r="N465" i="7"/>
  <c r="L465" i="7"/>
  <c r="U464" i="7"/>
  <c r="V464" i="7" s="1"/>
  <c r="T464" i="7"/>
  <c r="R464" i="7"/>
  <c r="P464" i="7"/>
  <c r="N464" i="7"/>
  <c r="L464" i="7"/>
  <c r="U463" i="7"/>
  <c r="V463" i="7" s="1"/>
  <c r="T463" i="7"/>
  <c r="R463" i="7"/>
  <c r="P463" i="7"/>
  <c r="N463" i="7"/>
  <c r="L463" i="7"/>
  <c r="U462" i="7"/>
  <c r="V462" i="7" s="1"/>
  <c r="T462" i="7"/>
  <c r="R462" i="7"/>
  <c r="P462" i="7"/>
  <c r="N462" i="7"/>
  <c r="L462" i="7"/>
  <c r="U461" i="7"/>
  <c r="V461" i="7" s="1"/>
  <c r="T461" i="7"/>
  <c r="R461" i="7"/>
  <c r="P461" i="7"/>
  <c r="N461" i="7"/>
  <c r="L461" i="7"/>
  <c r="U460" i="7"/>
  <c r="V460" i="7" s="1"/>
  <c r="T460" i="7"/>
  <c r="R460" i="7"/>
  <c r="P460" i="7"/>
  <c r="N460" i="7"/>
  <c r="L460" i="7"/>
  <c r="U459" i="7"/>
  <c r="V459" i="7" s="1"/>
  <c r="T459" i="7"/>
  <c r="R459" i="7"/>
  <c r="P459" i="7"/>
  <c r="N459" i="7"/>
  <c r="L459" i="7"/>
  <c r="U458" i="7"/>
  <c r="V458" i="7" s="1"/>
  <c r="T458" i="7"/>
  <c r="R458" i="7"/>
  <c r="P458" i="7"/>
  <c r="N458" i="7"/>
  <c r="L458" i="7"/>
  <c r="U457" i="7"/>
  <c r="V457" i="7" s="1"/>
  <c r="T457" i="7"/>
  <c r="R457" i="7"/>
  <c r="P457" i="7"/>
  <c r="N457" i="7"/>
  <c r="L457" i="7"/>
  <c r="U456" i="7"/>
  <c r="V456" i="7" s="1"/>
  <c r="T456" i="7"/>
  <c r="R456" i="7"/>
  <c r="P456" i="7"/>
  <c r="N456" i="7"/>
  <c r="L456" i="7"/>
  <c r="U455" i="7"/>
  <c r="V455" i="7" s="1"/>
  <c r="T455" i="7"/>
  <c r="R455" i="7"/>
  <c r="P455" i="7"/>
  <c r="N455" i="7"/>
  <c r="L455" i="7"/>
  <c r="U454" i="7"/>
  <c r="V454" i="7" s="1"/>
  <c r="T454" i="7"/>
  <c r="R454" i="7"/>
  <c r="P454" i="7"/>
  <c r="N454" i="7"/>
  <c r="L454" i="7"/>
  <c r="U453" i="7"/>
  <c r="V453" i="7" s="1"/>
  <c r="T453" i="7"/>
  <c r="R453" i="7"/>
  <c r="P453" i="7"/>
  <c r="N453" i="7"/>
  <c r="L453" i="7"/>
  <c r="U452" i="7"/>
  <c r="V452" i="7" s="1"/>
  <c r="T452" i="7"/>
  <c r="R452" i="7"/>
  <c r="P452" i="7"/>
  <c r="N452" i="7"/>
  <c r="L452" i="7"/>
  <c r="U451" i="7"/>
  <c r="V451" i="7" s="1"/>
  <c r="T451" i="7"/>
  <c r="R451" i="7"/>
  <c r="P451" i="7"/>
  <c r="N451" i="7"/>
  <c r="L451" i="7"/>
  <c r="U450" i="7"/>
  <c r="V450" i="7" s="1"/>
  <c r="T450" i="7"/>
  <c r="R450" i="7"/>
  <c r="P450" i="7"/>
  <c r="N450" i="7"/>
  <c r="L450" i="7"/>
  <c r="U449" i="7"/>
  <c r="T449" i="7"/>
  <c r="R449" i="7"/>
  <c r="P449" i="7"/>
  <c r="N449" i="7"/>
  <c r="L449" i="7"/>
  <c r="H15" i="6"/>
  <c r="K249" i="5"/>
  <c r="K248" i="5"/>
  <c r="K247" i="5"/>
  <c r="K246" i="5"/>
  <c r="K245" i="5"/>
  <c r="K244" i="5"/>
  <c r="K243" i="5"/>
  <c r="K239" i="5"/>
  <c r="K238" i="5"/>
  <c r="K236" i="5"/>
  <c r="K235" i="5"/>
  <c r="K234" i="5"/>
  <c r="K232" i="5"/>
  <c r="K230" i="5"/>
  <c r="K228" i="5"/>
  <c r="K227" i="5"/>
  <c r="K225" i="5"/>
  <c r="K223" i="5"/>
  <c r="K222" i="5"/>
  <c r="K221" i="5"/>
  <c r="K220" i="5"/>
  <c r="K219" i="5"/>
  <c r="K217" i="5"/>
  <c r="K216" i="5"/>
  <c r="K210" i="5"/>
  <c r="K204" i="5"/>
  <c r="K202" i="5"/>
  <c r="K200" i="5"/>
  <c r="K198" i="5"/>
  <c r="K197" i="5"/>
  <c r="K196" i="5"/>
  <c r="K195" i="5"/>
  <c r="K194" i="5"/>
  <c r="K193" i="5"/>
  <c r="K192" i="5"/>
  <c r="K191" i="5"/>
  <c r="K190" i="5"/>
  <c r="K189" i="5"/>
  <c r="K188" i="5"/>
  <c r="K186" i="5"/>
  <c r="K185" i="5"/>
  <c r="K184" i="5"/>
  <c r="K182" i="5"/>
  <c r="K181" i="5"/>
  <c r="K180" i="5"/>
  <c r="K178" i="5"/>
  <c r="K176" i="5"/>
  <c r="K174" i="5"/>
  <c r="K172" i="5"/>
  <c r="K170" i="5"/>
  <c r="K169" i="5"/>
  <c r="K167" i="5"/>
  <c r="K165" i="5"/>
  <c r="K161" i="5"/>
  <c r="M55" i="5"/>
  <c r="K55" i="5"/>
  <c r="J55" i="5"/>
  <c r="I55" i="5"/>
  <c r="M53" i="5"/>
  <c r="E53" i="5"/>
  <c r="E55" i="5" s="1"/>
  <c r="E36" i="5"/>
  <c r="D36" i="5" s="1"/>
  <c r="H380" i="7" l="1"/>
  <c r="H282" i="7"/>
  <c r="U486" i="7"/>
  <c r="U487" i="7"/>
  <c r="V449" i="7"/>
  <c r="J158" i="5"/>
  <c r="F36" i="5"/>
  <c r="G54" i="5" s="1"/>
  <c r="I36" i="5"/>
  <c r="G158" i="5"/>
  <c r="L53" i="5"/>
  <c r="G55" i="5" l="1"/>
  <c r="L54" i="5"/>
  <c r="L55" i="5" s="1"/>
  <c r="O282" i="2" l="1"/>
  <c r="L282" i="2"/>
  <c r="K282" i="2"/>
  <c r="O281" i="2"/>
  <c r="L281" i="2"/>
  <c r="L275" i="2"/>
  <c r="K275" i="2"/>
  <c r="K274" i="2"/>
  <c r="K273" i="2"/>
  <c r="K270" i="2"/>
  <c r="K269" i="2"/>
  <c r="K267" i="2"/>
  <c r="K266" i="2"/>
  <c r="K265" i="2"/>
  <c r="K261" i="2"/>
  <c r="N23" i="2"/>
  <c r="M23" i="2"/>
  <c r="L23" i="2"/>
  <c r="K23" i="2"/>
  <c r="J23" i="2"/>
  <c r="I23" i="2"/>
  <c r="H23" i="2"/>
  <c r="O254" i="2"/>
  <c r="O253" i="2"/>
  <c r="L252" i="2"/>
  <c r="O251" i="2"/>
  <c r="L251" i="2"/>
  <c r="K251" i="2"/>
  <c r="J251" i="2"/>
  <c r="O250" i="2"/>
  <c r="L249" i="2"/>
  <c r="K249" i="2"/>
  <c r="J249" i="2"/>
  <c r="L248" i="2"/>
  <c r="K248" i="2"/>
  <c r="J248" i="2"/>
  <c r="O247" i="2"/>
  <c r="L247" i="2"/>
  <c r="K247" i="2"/>
  <c r="J247" i="2"/>
  <c r="O246" i="2"/>
  <c r="O245" i="2"/>
  <c r="J245" i="2"/>
  <c r="O244" i="2"/>
  <c r="L244" i="2"/>
  <c r="K244" i="2"/>
  <c r="O243" i="2"/>
  <c r="L243" i="2"/>
  <c r="K243" i="2"/>
  <c r="L242" i="2"/>
  <c r="K242" i="2"/>
  <c r="O241" i="2"/>
  <c r="L241" i="2"/>
  <c r="J241" i="2"/>
  <c r="L240" i="2"/>
  <c r="K240" i="2"/>
  <c r="J240" i="2"/>
  <c r="J239" i="2"/>
  <c r="O238" i="2"/>
  <c r="L238" i="2"/>
  <c r="K238" i="2"/>
  <c r="J238" i="2"/>
  <c r="O237" i="2"/>
  <c r="L237" i="2"/>
  <c r="K237" i="2"/>
  <c r="J237" i="2"/>
  <c r="O236" i="2"/>
  <c r="L236" i="2"/>
  <c r="K236" i="2"/>
  <c r="J236" i="2"/>
  <c r="O235" i="2"/>
  <c r="L235" i="2"/>
  <c r="K235" i="2"/>
  <c r="J235" i="2"/>
  <c r="L234" i="2"/>
  <c r="K234" i="2"/>
  <c r="J234" i="2"/>
  <c r="L233" i="2"/>
  <c r="L232" i="2"/>
  <c r="K232" i="2"/>
  <c r="J232" i="2"/>
  <c r="L231" i="2"/>
  <c r="O230" i="2"/>
  <c r="O228" i="2"/>
  <c r="L227" i="2"/>
  <c r="O226" i="2"/>
  <c r="J226" i="2"/>
  <c r="O225" i="2"/>
  <c r="L225" i="2"/>
  <c r="K225" i="2"/>
  <c r="M212" i="2"/>
  <c r="L212" i="2"/>
  <c r="K212" i="2"/>
  <c r="J212" i="2"/>
  <c r="AB137" i="2"/>
  <c r="AA137" i="2"/>
  <c r="Y137" i="2"/>
  <c r="X137" i="2"/>
  <c r="W137" i="2" s="1"/>
  <c r="V137" i="2"/>
  <c r="U137" i="2"/>
  <c r="S137" i="2"/>
  <c r="M137" i="2"/>
  <c r="L137" i="2"/>
  <c r="K137" i="2"/>
  <c r="W136" i="2"/>
  <c r="T136" i="2"/>
  <c r="W135" i="2"/>
  <c r="T135" i="2"/>
  <c r="W134" i="2"/>
  <c r="T134" i="2"/>
  <c r="W133" i="2"/>
  <c r="T133" i="2"/>
  <c r="W132" i="2"/>
  <c r="T132" i="2"/>
  <c r="W131" i="2"/>
  <c r="T131" i="2"/>
  <c r="W130" i="2"/>
  <c r="T130" i="2"/>
  <c r="W129" i="2"/>
  <c r="T129" i="2"/>
  <c r="W128" i="2"/>
  <c r="T128" i="2"/>
  <c r="W127" i="2"/>
  <c r="T127" i="2"/>
  <c r="W126" i="2"/>
  <c r="T126" i="2"/>
  <c r="W125" i="2"/>
  <c r="T125" i="2"/>
  <c r="W124" i="2"/>
  <c r="T124" i="2"/>
  <c r="W123" i="2"/>
  <c r="T123" i="2"/>
  <c r="W122" i="2"/>
  <c r="T122" i="2"/>
  <c r="N44" i="2"/>
  <c r="J44" i="2"/>
  <c r="I44" i="2"/>
  <c r="N43" i="2"/>
  <c r="K43" i="2"/>
  <c r="J43" i="2"/>
  <c r="I43" i="2"/>
  <c r="N42" i="2"/>
  <c r="K42" i="2"/>
  <c r="J42" i="2"/>
  <c r="I42" i="2"/>
  <c r="N40" i="2"/>
  <c r="K40" i="2"/>
  <c r="J40" i="2"/>
  <c r="I40" i="2"/>
</calcChain>
</file>

<file path=xl/sharedStrings.xml><?xml version="1.0" encoding="utf-8"?>
<sst xmlns="http://schemas.openxmlformats.org/spreadsheetml/2006/main" count="5889" uniqueCount="1356">
  <si>
    <t>Grau en CAFE (71046) Pla 2012</t>
  </si>
  <si>
    <t>Taula 1. Evolució dels estudiants matriculats</t>
  </si>
  <si>
    <t>Titulació</t>
  </si>
  <si>
    <t>Estudiants matriculats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</si>
  <si>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</si>
  <si>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</si>
  <si>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</si>
  <si>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</si>
  <si>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</si>
  <si>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</si>
  <si>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</si>
  <si>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</si>
  <si>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Grau en CAFE</t>
  </si>
  <si>
    <t>Grau en Fisioteràpia</t>
  </si>
  <si>
    <t>Doble titulació</t>
  </si>
  <si>
    <t>x</t>
  </si>
  <si>
    <t xml:space="preserve">Total </t>
  </si>
  <si>
    <t>Font: Càlculs propis</t>
  </si>
  <si>
    <t>Estudiants matriculats Grau en CAFE</t>
  </si>
  <si>
    <t>Promoció 2012-2016</t>
  </si>
  <si>
    <t>Promoció 2013-2017</t>
  </si>
  <si>
    <t>Promoció 2014-2018</t>
  </si>
  <si>
    <t>Promoció 2015 - 2019</t>
  </si>
  <si>
    <t>Promoció 2016 - 2020</t>
  </si>
  <si>
    <t>Promoció 2017 - 2021</t>
  </si>
  <si>
    <t>Promoció 2018 - 2022</t>
  </si>
  <si>
    <t>Promoció 2019 - 2023</t>
  </si>
  <si>
    <t>Estudiants matriculats Grau en Fisioteràpia</t>
  </si>
  <si>
    <t>X</t>
  </si>
  <si>
    <t>Taula 1.2. Evolució del nombre de titulats</t>
  </si>
  <si>
    <t>Titulats</t>
  </si>
  <si>
    <t>Taula 2. Evolució del nombre de professorat amb docència</t>
  </si>
  <si>
    <t>Professorat</t>
  </si>
  <si>
    <t>CAFE</t>
  </si>
  <si>
    <t>Homes</t>
  </si>
  <si>
    <t>Dones</t>
  </si>
  <si>
    <t>Taula 3. Indicadors del procés d’admissió d’estudiants a grau</t>
  </si>
  <si>
    <t>Indicador</t>
  </si>
  <si>
    <t>Places ofertes</t>
  </si>
  <si>
    <t>Demanda en 1a opció</t>
  </si>
  <si>
    <t>Ràtio oferta-demanda en 1a opció</t>
  </si>
  <si>
    <t>60/15=4</t>
  </si>
  <si>
    <t>60/17=3,53</t>
  </si>
  <si>
    <t>60/12=5</t>
  </si>
  <si>
    <t>60/28=2,14</t>
  </si>
  <si>
    <t>60/25=2,4</t>
  </si>
  <si>
    <t>50/8= 6,25</t>
  </si>
  <si>
    <t>50/17= 2,94</t>
  </si>
  <si>
    <t>50/21= 2,38</t>
  </si>
  <si>
    <t xml:space="preserve">Demanda 1a-3a opció </t>
  </si>
  <si>
    <t>Demanda total</t>
  </si>
  <si>
    <t>Ingressos</t>
  </si>
  <si>
    <t>Nombre d'ingressos 1a opció</t>
  </si>
  <si>
    <t>% Ingressos 1a opció</t>
  </si>
  <si>
    <t>Font: Oficina d'Orientació per a l'Accés a la Universitat. Càlculs propis</t>
  </si>
  <si>
    <t>Taula 4.  Percentatge d’estudiants matriculats de nou ingrés segons via d’accés</t>
  </si>
  <si>
    <t>Via accés </t>
  </si>
  <si>
    <t>Proves d'accés a la Universitat (PAU) o assimilats</t>
  </si>
  <si>
    <t>Llicenciats, diplomats o assimilats</t>
  </si>
  <si>
    <t>Títol d'FP2, MP3 o CFGS i assimilats</t>
  </si>
  <si>
    <t>PAU i assimilats que tenen començats estudis universitaris</t>
  </si>
  <si>
    <t>FP2 o CFGS i assimilats que tenen començats estudis universitaris</t>
  </si>
  <si>
    <t>Més grans de 25 anys</t>
  </si>
  <si>
    <t>Taula 5. Nota mitjana d'accés dels estudiants matriculats, segons via</t>
  </si>
  <si>
    <t>-</t>
  </si>
  <si>
    <t>Nota d'accés promig</t>
  </si>
  <si>
    <t>Nota d'entrada a la titulació (nota de tall)</t>
  </si>
  <si>
    <t>Taula 6. Percentatge d’alumnes de nou ingrés matriculats per intervals de crèdits ordinaris matriculats</t>
  </si>
  <si>
    <t>Nombre de crèdits matriculats </t>
  </si>
  <si>
    <t>Matrícules amb crèdits ordinaris &gt;0 i &lt;30</t>
  </si>
  <si>
    <t>Matrícules amb crèdits ordinaris &gt;=30 i &lt;60</t>
  </si>
  <si>
    <t>Matrícules amb crèdits ordinaris &gt;=60 i &lt;90</t>
  </si>
  <si>
    <t>Taula 7. Percentatge d’alumnes de nou ingrés segons interval de nota d’accés</t>
  </si>
  <si>
    <t>Interval nota accés</t>
  </si>
  <si>
    <t>[5,6)</t>
  </si>
  <si>
    <t>[6,7)</t>
  </si>
  <si>
    <t>[7,8)</t>
  </si>
  <si>
    <t>[8,9)</t>
  </si>
  <si>
    <t>[9,10)</t>
  </si>
  <si>
    <t>(10,14]</t>
  </si>
  <si>
    <t>Font: Elaboració pròpia</t>
  </si>
  <si>
    <t>Grup Edat</t>
  </si>
  <si>
    <t>TOTAL</t>
  </si>
  <si>
    <t>&lt;=18</t>
  </si>
  <si>
    <t>[30-34]</t>
  </si>
  <si>
    <t>[35-39]</t>
  </si>
  <si>
    <t>&gt;=40</t>
  </si>
  <si>
    <t xml:space="preserve">Titulació </t>
  </si>
  <si>
    <t>Temps complert</t>
  </si>
  <si>
    <t>Temps parcial</t>
  </si>
  <si>
    <t>Total</t>
  </si>
  <si>
    <t>Província familiar</t>
  </si>
  <si>
    <t>Comarca familiar</t>
  </si>
  <si>
    <t>Estudiants matriculats (%)</t>
  </si>
  <si>
    <t>Barcelona</t>
  </si>
  <si>
    <t>Alt Penedès</t>
  </si>
  <si>
    <t>Anoia</t>
  </si>
  <si>
    <t>Baix Llobregat</t>
  </si>
  <si>
    <t>Barcelonés</t>
  </si>
  <si>
    <t>Garraf</t>
  </si>
  <si>
    <t>Maresme</t>
  </si>
  <si>
    <t>Osona</t>
  </si>
  <si>
    <t>Vallés Occidental</t>
  </si>
  <si>
    <t>Vallés Oriental</t>
  </si>
  <si>
    <t>Tarragona</t>
  </si>
  <si>
    <t>Alt Camp</t>
  </si>
  <si>
    <t>Baix Camp</t>
  </si>
  <si>
    <t>Baix Ebre</t>
  </si>
  <si>
    <t>Baix Penedès</t>
  </si>
  <si>
    <t>Montsià</t>
  </si>
  <si>
    <t>Priorat</t>
  </si>
  <si>
    <t>Ribera d'Ebre</t>
  </si>
  <si>
    <t>Tarragonès</t>
  </si>
  <si>
    <t>Girona</t>
  </si>
  <si>
    <t>Alt Empordà</t>
  </si>
  <si>
    <t>Baix Empordà</t>
  </si>
  <si>
    <t>Gironès</t>
  </si>
  <si>
    <t>Lleida</t>
  </si>
  <si>
    <t>Segrià</t>
  </si>
  <si>
    <t>Noguera</t>
  </si>
  <si>
    <t>Castelló</t>
  </si>
  <si>
    <t>Baix Maestrat</t>
  </si>
  <si>
    <t>Plana Alta</t>
  </si>
  <si>
    <t>Fuerteventura</t>
  </si>
  <si>
    <t>Alicant</t>
  </si>
  <si>
    <t>Marina Alta</t>
  </si>
  <si>
    <t>Navarra</t>
  </si>
  <si>
    <t>Menorca</t>
  </si>
  <si>
    <t>Mallorca</t>
  </si>
  <si>
    <t>Fora d'Espanya</t>
  </si>
  <si>
    <t>Alt Penedés</t>
  </si>
  <si>
    <t>Bages</t>
  </si>
  <si>
    <t>Barcelonès</t>
  </si>
  <si>
    <t>El Maresme</t>
  </si>
  <si>
    <t>Conca de Barberà</t>
  </si>
  <si>
    <t>Terra Alta</t>
  </si>
  <si>
    <t>Segria</t>
  </si>
  <si>
    <t>Pla d'Urgell</t>
  </si>
  <si>
    <t xml:space="preserve">Girona </t>
  </si>
  <si>
    <t>Garrotxa</t>
  </si>
  <si>
    <t>Gironés</t>
  </si>
  <si>
    <t>Selva</t>
  </si>
  <si>
    <t>Altres CCAA</t>
  </si>
  <si>
    <t>Altres (fora d'Espanya)</t>
  </si>
  <si>
    <t>DIMENSIÓ</t>
  </si>
  <si>
    <t>CONTINGUTS</t>
  </si>
  <si>
    <t>ENLLAÇ</t>
  </si>
  <si>
    <t>ACCÉS ALS ESTUDIS</t>
  </si>
  <si>
    <t>Assignatures o proves especials que possibiliten la millora de la nota d’accés (Si escau)</t>
  </si>
  <si>
    <t>Calendari de preinscripció</t>
  </si>
  <si>
    <t>Perfil recomanat</t>
  </si>
  <si>
    <t>Objectius</t>
  </si>
  <si>
    <t>Competències</t>
  </si>
  <si>
    <t>Trasllat d'expedient</t>
  </si>
  <si>
    <t>Beques i ajuts</t>
  </si>
  <si>
    <t>MATRÍCULA</t>
  </si>
  <si>
    <t>Terminis</t>
  </si>
  <si>
    <t>Documentació</t>
  </si>
  <si>
    <t>Formalització</t>
  </si>
  <si>
    <t>Preus</t>
  </si>
  <si>
    <t>Reconeixement de crèdits</t>
  </si>
  <si>
    <t>Orientació universitària</t>
  </si>
  <si>
    <t>PLANIFICACIÓ OPERATIVA DEL CURS</t>
  </si>
  <si>
    <t>Ensenyaments</t>
  </si>
  <si>
    <t>Assignatures (Informació; Professors; Horaris i dates d'exàmens)</t>
  </si>
  <si>
    <t>Laboratoris (si escau)</t>
  </si>
  <si>
    <t>Biblioteca</t>
  </si>
  <si>
    <t>Pla d’Acció Tutorial</t>
  </si>
  <si>
    <t>PROFESSORAT</t>
  </si>
  <si>
    <t>PRÀCTIQUES EXTERNES</t>
  </si>
  <si>
    <t>PROGRAMES DE MOBILITAT</t>
  </si>
  <si>
    <t>TREBALL FI DE GRAU</t>
  </si>
  <si>
    <t>GARANTIA DE LA QUALITAT</t>
  </si>
  <si>
    <t>Memòria de verificació</t>
  </si>
  <si>
    <t>Informes de seguiment de titulació</t>
  </si>
  <si>
    <t>Taxes i indicadors sobre demanda i desenvolupament de la titulació</t>
  </si>
  <si>
    <t>Enllaç a EUC Estudis (Coneix la Qualitat)</t>
  </si>
  <si>
    <t>Enllaç a la pàgina dels títols al RUCT</t>
  </si>
  <si>
    <t>Id.</t>
  </si>
  <si>
    <t>Instrument /Mecanisme (1)</t>
  </si>
  <si>
    <t>Dimensions o ítems de satisfacció inclosos</t>
  </si>
  <si>
    <t>Abast</t>
  </si>
  <si>
    <t>Format</t>
  </si>
  <si>
    <t>Periodicitat</t>
  </si>
  <si>
    <t>Últimes dades disponibles</t>
  </si>
  <si>
    <r>
      <t>Percentatge de participació</t>
    </r>
    <r>
      <rPr>
        <sz val="8"/>
        <color theme="1"/>
        <rFont val="Calibri"/>
        <family val="2"/>
        <scheme val="minor"/>
      </rPr>
      <t> </t>
    </r>
  </si>
  <si>
    <t>Estàndards d’acreditació relacionats</t>
  </si>
  <si>
    <t>13-14</t>
  </si>
  <si>
    <t>14-15</t>
  </si>
  <si>
    <t>15-16</t>
  </si>
  <si>
    <t>16-17</t>
  </si>
  <si>
    <t>17-18</t>
  </si>
  <si>
    <t>18-19</t>
  </si>
  <si>
    <t>19-20</t>
  </si>
  <si>
    <t>Estudiants</t>
  </si>
  <si>
    <t>ENQUESTA ESTUDIANT DE GRAU DE PRIMER CURS</t>
  </si>
  <si>
    <t>●Experiència educativa</t>
  </si>
  <si>
    <t>Grau</t>
  </si>
  <si>
    <t>Virtual</t>
  </si>
  <si>
    <t>Anual</t>
  </si>
  <si>
    <t>Últim curs finalitzat</t>
  </si>
  <si>
    <t>Antiga 1Q1R - PAT</t>
  </si>
  <si>
    <t>E1</t>
  </si>
  <si>
    <t>E2</t>
  </si>
  <si>
    <t>E5</t>
  </si>
  <si>
    <t xml:space="preserve">●Altres dimensions del programa formatiu i serveis (2)  </t>
  </si>
  <si>
    <t>E6</t>
  </si>
  <si>
    <t>ENQUESTA ESTUDIANT DE GRAU DURANT</t>
  </si>
  <si>
    <t>Antiga EPD -PAT</t>
  </si>
  <si>
    <t> Antiga EPD -PAT</t>
  </si>
  <si>
    <t>"PROFESSORAT" ENQUESTA ASSIGNATURA GRAU</t>
  </si>
  <si>
    <t>●Actuació docent del professorat</t>
  </si>
  <si>
    <t>Quadrimestral</t>
  </si>
  <si>
    <t>E4</t>
  </si>
  <si>
    <t>ENQUESTA ASSIGNATURA GRAU</t>
  </si>
  <si>
    <t>Antic Bloc comú</t>
  </si>
  <si>
    <t>PE-ENQUESTA ASSIGNATURA GRAU</t>
  </si>
  <si>
    <t xml:space="preserve">●Execucions clau </t>
  </si>
  <si>
    <t>TFG-ENQUESTA ASSIGNATURA GRAU</t>
  </si>
  <si>
    <t>Professorat i responsable de la titulació</t>
  </si>
  <si>
    <t>●Estructura del pla d’estudis (matèries i el seu pes).</t>
  </si>
  <si>
    <t>●Perfil de competències (resultats d’aprenentatge previstos) de la titulació.</t>
  </si>
  <si>
    <t>●Perfil dels estudiants que han accedit a la titulació.</t>
  </si>
  <si>
    <t>●Organització del desplegament del pla d’estudis (grups, horaris, etc.).</t>
  </si>
  <si>
    <t>●Coordinació docent i la comunicació interna.</t>
  </si>
  <si>
    <t>●Metodologies docents i les estratègies d’avaluació.</t>
  </si>
  <si>
    <t>●Recursos docents disponibles.</t>
  </si>
  <si>
    <t>●Treball i la dedicació dels estudiants.</t>
  </si>
  <si>
    <t>●Resultats de l’aprenentatge obtinguts pels estudiants.</t>
  </si>
  <si>
    <r>
      <t>●Altres dimensions del programa formatiu i serveis (2)</t>
    </r>
    <r>
      <rPr>
        <sz val="8"/>
        <color rgb="FF000000"/>
        <rFont val="Verdana"/>
        <family val="2"/>
      </rPr>
      <t xml:space="preserve">  </t>
    </r>
  </si>
  <si>
    <t>●Altres dimensions del programa formatiu i serveis (2)</t>
  </si>
  <si>
    <t>Graduats</t>
  </si>
  <si>
    <t>ENQUESTA ESTUDIANT DE GRAU QUAN ACABEN</t>
  </si>
  <si>
    <t xml:space="preserve">●Formació rebuda </t>
  </si>
  <si>
    <t>●Formació rebuda</t>
  </si>
  <si>
    <t>Trianual</t>
  </si>
  <si>
    <t>●Ocupació i la satisfacció de l’ocupació.</t>
  </si>
  <si>
    <t xml:space="preserve">Telefònica </t>
  </si>
  <si>
    <t>Llegenda:</t>
  </si>
  <si>
    <t>(1) Cal identificar l’enquesta o els altres procediments emprats, com per exemple grups de discussió, informes de comissions, etc.</t>
  </si>
  <si>
    <t>(2) Inclou: PAT, serveis d’orientació professional, serveis bibliotecaris, instal·lacions docents i altres serveis especialitzats.</t>
  </si>
  <si>
    <t>Nre. PDI</t>
  </si>
  <si>
    <t>% PDI doctor</t>
  </si>
  <si>
    <t>% Hores impartides PDI doctor</t>
  </si>
  <si>
    <t>Mitjana edat</t>
  </si>
  <si>
    <t>% dones</t>
  </si>
  <si>
    <t xml:space="preserve">Font: Elaboració pròpia. ACRG15: Perfil general del professorat de les titulacions de grau per categoria, edat i sexe.
ACRM13: Perfil general del professorat de les titulacions de grau per categoria, edat i sexe.
</t>
  </si>
  <si>
    <t>Categoria</t>
  </si>
  <si>
    <t>% PDI</t>
  </si>
  <si>
    <t>Total  Nre. PDI</t>
  </si>
  <si>
    <t>% Hores impartides</t>
  </si>
  <si>
    <t>Total Hores Impartides</t>
  </si>
  <si>
    <t>No Doctor</t>
  </si>
  <si>
    <t>Doctor</t>
  </si>
  <si>
    <t>Professor Agregat</t>
  </si>
  <si>
    <t>Professor Adjunt</t>
  </si>
  <si>
    <t>Professor Ajudant</t>
  </si>
  <si>
    <t>Professor col·laborador</t>
  </si>
  <si>
    <t>Permanents 1</t>
  </si>
  <si>
    <t>Permanents 2</t>
  </si>
  <si>
    <t>Lectors</t>
  </si>
  <si>
    <t>Associats</t>
  </si>
  <si>
    <t>Altres</t>
  </si>
  <si>
    <r>
      <t>% Professorat acreditat</t>
    </r>
    <r>
      <rPr>
        <sz val="8"/>
        <color theme="1"/>
        <rFont val="Calibri"/>
        <family val="2"/>
        <scheme val="minor"/>
      </rPr>
      <t> </t>
    </r>
  </si>
  <si>
    <t>Doctors</t>
  </si>
  <si>
    <t>No doctors</t>
  </si>
  <si>
    <t>ACRM14: Professorat i hores impartides segons categoria del PDI i doctorat en estudis de màster.</t>
  </si>
  <si>
    <t>Permanents 1: professorat permanent per al qual és necessari ser doctor (CC, CU, CEU, TU, agregat i assimilables en centres privats).</t>
  </si>
  <si>
    <t>Permanents 2: professorat permanent per al qual no és necessari ser doctor (TEU, col·laboradors i assimilables en centres privats).</t>
  </si>
  <si>
    <r>
      <t>Altres:</t>
    </r>
    <r>
      <rPr>
        <sz val="10.5"/>
        <color theme="1"/>
        <rFont val="Calibri"/>
        <family val="2"/>
        <scheme val="minor"/>
      </rPr>
      <t xml:space="preserve"> </t>
    </r>
    <r>
      <rPr>
        <sz val="8"/>
        <color rgb="FF000000"/>
        <rFont val="Verdana"/>
        <family val="2"/>
      </rPr>
      <t>professorat visitant, becaris, etc.</t>
    </r>
  </si>
  <si>
    <t>El professorat funcionari (CU, TU, CEU i TEU) es considerarà acreditat</t>
  </si>
  <si>
    <t>Id Assignatura</t>
  </si>
  <si>
    <t>Assignatura</t>
  </si>
  <si>
    <t>Curs</t>
  </si>
  <si>
    <t>Tipus</t>
  </si>
  <si>
    <t>ECTS</t>
  </si>
  <si>
    <t>Alumnes matriculats</t>
  </si>
  <si>
    <t>Professor</t>
  </si>
  <si>
    <t>Hores impartides</t>
  </si>
  <si>
    <t>% ECTS</t>
  </si>
  <si>
    <t>Nre. Grups</t>
  </si>
  <si>
    <t>Anatomia aplicada a l'Activitat física i a l'Esport</t>
  </si>
  <si>
    <t>1r</t>
  </si>
  <si>
    <t>Formació bàsica</t>
  </si>
  <si>
    <t>Dr. José Vicente Beltrán</t>
  </si>
  <si>
    <t>Professor agregat</t>
  </si>
  <si>
    <t>Fisiologia de l'Exercici I</t>
  </si>
  <si>
    <t>Dr. Xavier Franch</t>
  </si>
  <si>
    <t>Professor col·laborador doctor acreditat</t>
  </si>
  <si>
    <t>Fisiologia de l'Exercici II</t>
  </si>
  <si>
    <t>2n</t>
  </si>
  <si>
    <t>Kinesiologia i biomecànica del moviment</t>
  </si>
  <si>
    <t>Sr. Joaquim Guasch</t>
  </si>
  <si>
    <t>Professor col·laborador llicenciat</t>
  </si>
  <si>
    <t>Psicologia aplicada a l'Activitat Física i a l'Esport</t>
  </si>
  <si>
    <t>Sra. Àngels Piquet</t>
  </si>
  <si>
    <t>Sr.Eduard Morelló</t>
  </si>
  <si>
    <t>Desenvolupament motor i iniciació esportiva</t>
  </si>
  <si>
    <t>Dr. Gerson Garrosa</t>
  </si>
  <si>
    <t>Professor adjunt</t>
  </si>
  <si>
    <t>Estadística i metodologia de la investigació aplicada a l'Activitat Física</t>
  </si>
  <si>
    <t>Principis didàctics de l'Activitat Física i l'Esport</t>
  </si>
  <si>
    <t>Dra. Cinta Espuny</t>
  </si>
  <si>
    <t>Programació en els ensenyaments en el sistema educatiu</t>
  </si>
  <si>
    <t>Sr. Pau Cecília</t>
  </si>
  <si>
    <t>Professor ajudant llicenciat</t>
  </si>
  <si>
    <t>Història i fonaments sòcio-culturals de l'Activitat Física i l'Esport</t>
  </si>
  <si>
    <t>Sr. Jesús Martí</t>
  </si>
  <si>
    <t>Jocs i habilitats motrius bàsiques</t>
  </si>
  <si>
    <t>Obligatòria</t>
  </si>
  <si>
    <t>Dansa i expressió corporal</t>
  </si>
  <si>
    <t>Sra. Lara Barbancho</t>
  </si>
  <si>
    <t>Activitat Física a la natura</t>
  </si>
  <si>
    <t>3r</t>
  </si>
  <si>
    <t>Esports individuals</t>
  </si>
  <si>
    <t>Esports aquàtics</t>
  </si>
  <si>
    <t>Sr. Xavier Nadal</t>
  </si>
  <si>
    <t>Esports d'adversari</t>
  </si>
  <si>
    <t>Sr. Manel Roso</t>
  </si>
  <si>
    <t>Sr.Marc Font</t>
  </si>
  <si>
    <t>Sr. Artur Bel</t>
  </si>
  <si>
    <t>Esports col·lectius</t>
  </si>
  <si>
    <t>Sr. Guillermo Camarero</t>
  </si>
  <si>
    <t>Professor col·laborador graduat</t>
  </si>
  <si>
    <t>Ampliació dels esports</t>
  </si>
  <si>
    <t>Sr. Jordi Abella</t>
  </si>
  <si>
    <t>Teoria de l'entrenament I</t>
  </si>
  <si>
    <t>Dr. Diego Chaverri</t>
  </si>
  <si>
    <t>Teoria de l'entrenament II</t>
  </si>
  <si>
    <t>Teoria de l'entrenament III</t>
  </si>
  <si>
    <t>4t</t>
  </si>
  <si>
    <t>Prescripció de l'exercici físic per a la salut</t>
  </si>
  <si>
    <t>Nutrició aplicada a l'Activitat Física i l'Esport</t>
  </si>
  <si>
    <t>Primers auxilis</t>
  </si>
  <si>
    <t>Dr. Javier Santillana</t>
  </si>
  <si>
    <t>Dra. Georgina Casanova</t>
  </si>
  <si>
    <t>Professor col·laborador doctor</t>
  </si>
  <si>
    <t>Mitjans i mètodes de recuperació</t>
  </si>
  <si>
    <t>Legislació esportiva i direcció de sistemes i organitzacions</t>
  </si>
  <si>
    <t>Sra. Meritxell Roigé</t>
  </si>
  <si>
    <t>Sr. Ramon Cuadrat</t>
  </si>
  <si>
    <t>Bases econòmic-financeres i de contractació</t>
  </si>
  <si>
    <t>Sr. Pau Antó</t>
  </si>
  <si>
    <t>Instal·lacions esportives</t>
  </si>
  <si>
    <t>Sr. Felip Carles</t>
  </si>
  <si>
    <t>Sr. Gerard Monguió</t>
  </si>
  <si>
    <t>Recreació, oci i turisme</t>
  </si>
  <si>
    <t>Dra. Núria Gil</t>
  </si>
  <si>
    <t>Sr. Juan Antonio Fernández</t>
  </si>
  <si>
    <t>Disseny, intervenció i avaluació el l'Educació Física i l'Esport</t>
  </si>
  <si>
    <t>Activitat Física i Esport per a persones amb alguna discapacitat</t>
  </si>
  <si>
    <t>Sr. Marc Cumplí</t>
  </si>
  <si>
    <t>Noves tendències en l'entrenament esportiu (Rendiment-Readaptació a l'esforç)</t>
  </si>
  <si>
    <t>Optativa</t>
  </si>
  <si>
    <t>Dr. Marc Madruga</t>
  </si>
  <si>
    <t>Noves tendències en l'ensenyament de l'Activitat Física i l'Esport (Educació)</t>
  </si>
  <si>
    <t>Noves tendències en la gestió i la recreació esportiva (Gestió)</t>
  </si>
  <si>
    <t>Treball de Fi de Grau</t>
  </si>
  <si>
    <t>Pràctiques externes</t>
  </si>
  <si>
    <t>Sr.Jordi Abella</t>
  </si>
  <si>
    <t>Pregunta 
(Molt en desacord 1…7 Molt en acord)</t>
  </si>
  <si>
    <t>Les activitats docents s'ajusten als objectius, continguts, sistema d'avaluació i competències que preveia la guia docent.</t>
  </si>
  <si>
    <t>La metodologia d'ensenyament s'adequa als objectius de l'assignatura.</t>
  </si>
  <si>
    <t>Explica els continguts amb claredat.</t>
  </si>
  <si>
    <t>Resol satisfactòriament els dubtes o preguntes que se li plantegen</t>
  </si>
  <si>
    <t>Es preocupa per estimular l'interès de l'alumnat en l'assignatura.</t>
  </si>
  <si>
    <t>Manté un bon clima de relació personal i comunicació amb els estudiants.</t>
  </si>
  <si>
    <t>Compleix amb l'horari de classe i d'atenció personalitzada fora de l'aula.</t>
  </si>
  <si>
    <t>El volum de treball és coherent i proporcionat als crèdits de l'assignatura.</t>
  </si>
  <si>
    <t>Globalment considero que és un/a bon/a professor/a</t>
  </si>
  <si>
    <t>Pregunta</t>
  </si>
  <si>
    <t>SUPORT AL PROFESSORAT</t>
  </si>
  <si>
    <t>Codi</t>
  </si>
  <si>
    <t>Activitat</t>
  </si>
  <si>
    <t>Hores</t>
  </si>
  <si>
    <t>Data inici</t>
  </si>
  <si>
    <t>Data final</t>
  </si>
  <si>
    <t xml:space="preserve">Curs </t>
  </si>
  <si>
    <t>Nom projecte</t>
  </si>
  <si>
    <t>Inici</t>
  </si>
  <si>
    <t>Fi</t>
  </si>
  <si>
    <t>Coordinador</t>
  </si>
  <si>
    <t>Participants</t>
  </si>
  <si>
    <t>PDI</t>
  </si>
  <si>
    <t>Durada (dies)</t>
  </si>
  <si>
    <t>País de destí</t>
  </si>
  <si>
    <t>Institució de destí</t>
  </si>
  <si>
    <t>Anatomia I</t>
  </si>
  <si>
    <t>Dra. Núria Besalduch</t>
  </si>
  <si>
    <t>Dra. Míriam Ejarque</t>
  </si>
  <si>
    <t>Sr. Jordi Castellano</t>
  </si>
  <si>
    <t>Professor ajudant graduat</t>
  </si>
  <si>
    <t>Sra. Irene Mutlló</t>
  </si>
  <si>
    <t>Anatomia II</t>
  </si>
  <si>
    <t>Sra. Àngels Pasqual</t>
  </si>
  <si>
    <t>Fisiologia I</t>
  </si>
  <si>
    <t>Sra. Elisa Rodado</t>
  </si>
  <si>
    <t xml:space="preserve">Física </t>
  </si>
  <si>
    <t>Dr. Pere Panisello</t>
  </si>
  <si>
    <t>Bases de comunicació i ètica</t>
  </si>
  <si>
    <t>Dra. Marta Hernández</t>
  </si>
  <si>
    <t>Bases de documentació i educació</t>
  </si>
  <si>
    <t>Sra. Elsa Pla</t>
  </si>
  <si>
    <t>Fonaments de fisioteràpia</t>
  </si>
  <si>
    <t>Sra. Tània Perales</t>
  </si>
  <si>
    <t>Procediments generals en fisioteràpia I</t>
  </si>
  <si>
    <t>Sr.Jaume Guerra</t>
  </si>
  <si>
    <t>Sr. Carla Curto</t>
  </si>
  <si>
    <t>Procediments generals en fisioteràpia II</t>
  </si>
  <si>
    <t>Professor adjudant graduat</t>
  </si>
  <si>
    <t>Valoració en fisioteràpia I</t>
  </si>
  <si>
    <t>Sr. Joaquim Renau</t>
  </si>
  <si>
    <t>Fisiologia II</t>
  </si>
  <si>
    <t>Dr. Amat Ortí</t>
  </si>
  <si>
    <t>Patologia quirúrgica</t>
  </si>
  <si>
    <t>Biomecànica clínica</t>
  </si>
  <si>
    <t>Psicologia</t>
  </si>
  <si>
    <t>Sra. Anna Barberà</t>
  </si>
  <si>
    <t>Fisioterapia Integrada I</t>
  </si>
  <si>
    <t>Bioestadística</t>
  </si>
  <si>
    <t>Dr. Vicente Beltrán</t>
  </si>
  <si>
    <t>Procediments generals en fisioteràpia III</t>
  </si>
  <si>
    <t>Sr. Francesc Múria</t>
  </si>
  <si>
    <t>Cinesiteràpia</t>
  </si>
  <si>
    <t>Mètodes específics  d'Intervenció en Fisioteràpia I</t>
  </si>
  <si>
    <t>Valoració en fisioteràpia II</t>
  </si>
  <si>
    <t>Sra. Alba Aixendri</t>
  </si>
  <si>
    <t>Fisioteràpia en especialitats clíniques I</t>
  </si>
  <si>
    <t>Sra. Yolanda Vergés</t>
  </si>
  <si>
    <t>Pràctiques clíniques I</t>
  </si>
  <si>
    <t>Fisioteràpia cardiorespiratòria</t>
  </si>
  <si>
    <t>Sr. Jordi Resa</t>
  </si>
  <si>
    <t>Patologia ginecològica i pediàtrica</t>
  </si>
  <si>
    <t>Sra. Cristina Ruiz</t>
  </si>
  <si>
    <t>Fisioteràpia integrada II</t>
  </si>
  <si>
    <t>Mètodes específics d'intervenció en fisioteràpia  III</t>
  </si>
  <si>
    <t>Sr. Laura Miralles</t>
  </si>
  <si>
    <t>Dra. Renata Muñoz</t>
  </si>
  <si>
    <t xml:space="preserve">Radiologia </t>
  </si>
  <si>
    <t xml:space="preserve">Farmacologia </t>
  </si>
  <si>
    <t>Dra. Mònica Muñoz</t>
  </si>
  <si>
    <t>Dr. Xavier Ortín</t>
  </si>
  <si>
    <t>Fisioteràpia en especialitats clíniques II</t>
  </si>
  <si>
    <t>Mètodes específics d'intervenció en fisioteràpia  II</t>
  </si>
  <si>
    <t>Patologia mèdica</t>
  </si>
  <si>
    <t>Pràctiques clíniques II</t>
  </si>
  <si>
    <t>Rehabilitació i terapèutiques associades</t>
  </si>
  <si>
    <t>Sr. Juan Francisco Sales</t>
  </si>
  <si>
    <t>Desenvolupament d'un projecte de recerca</t>
  </si>
  <si>
    <t>Nutrició i activitat física</t>
  </si>
  <si>
    <t>Sra. Pilar Mauri</t>
  </si>
  <si>
    <t>Fisioteràpia de L’Esport I</t>
  </si>
  <si>
    <t xml:space="preserve">Legislació Sanitària </t>
  </si>
  <si>
    <t>Sra. Carolina Escrivà</t>
  </si>
  <si>
    <t>Salut Pública</t>
  </si>
  <si>
    <t>Sr.Josep Rebull</t>
  </si>
  <si>
    <t>Organització i Gestió Sanitaria</t>
  </si>
  <si>
    <t xml:space="preserve">  4t</t>
  </si>
  <si>
    <t>Sr.Xavier Nadal</t>
  </si>
  <si>
    <t>Fisioteràpia Integrada III</t>
  </si>
  <si>
    <t>Fisioteràpia Hospitalària</t>
  </si>
  <si>
    <t>Fisioteràpia Geriàtrica</t>
  </si>
  <si>
    <t>Fisioteràpia Domiciliària</t>
  </si>
  <si>
    <t>Atenció Primària</t>
  </si>
  <si>
    <t>Pràctiques opcional</t>
  </si>
  <si>
    <t>Introducció a la teràpia manipulativa perifèrica</t>
  </si>
  <si>
    <t>Ergonomia aplicada</t>
  </si>
  <si>
    <t>Fisioteràpia i Envelliment</t>
  </si>
  <si>
    <t>Tècniques específiques en fisioteràpia</t>
  </si>
  <si>
    <t>Fisioteràpia de l’Esport</t>
  </si>
  <si>
    <t>Nº estudiants tutoritzats</t>
  </si>
  <si>
    <t>Nº de tutors que té el centre i les titulacions</t>
  </si>
  <si>
    <t>Ràtio d'estudiants per tutor</t>
  </si>
  <si>
    <t>Font: Moodle</t>
  </si>
  <si>
    <t>Estudiants que han emplenat fitxa de perfil</t>
  </si>
  <si>
    <t>Estudiants que han participant a les tutories</t>
  </si>
  <si>
    <t>Nº</t>
  </si>
  <si>
    <t>%</t>
  </si>
  <si>
    <t>Nº de tutors/es totals</t>
  </si>
  <si>
    <t>Nº fitxes seguiment</t>
  </si>
  <si>
    <t>Tipus de tutories</t>
  </si>
  <si>
    <t>Indiv.</t>
  </si>
  <si>
    <t>Grup</t>
  </si>
  <si>
    <t>Presencial</t>
  </si>
  <si>
    <t>Font: Moodle i Fitxes de Seguiment</t>
  </si>
  <si>
    <t xml:space="preserve">ORIENTACIÓ PROFESSIONAL </t>
  </si>
  <si>
    <t>Taller</t>
  </si>
  <si>
    <t>Assistents</t>
  </si>
  <si>
    <t>Satisfacció</t>
  </si>
  <si>
    <t>Font: OOU URV</t>
  </si>
  <si>
    <t>MOBILITAT DELS ESTUDIANTS</t>
  </si>
  <si>
    <t>Tipus de programa</t>
  </si>
  <si>
    <t>País</t>
  </si>
  <si>
    <t>Universitat / Empresa</t>
  </si>
  <si>
    <t>Erasmus</t>
  </si>
  <si>
    <t>Itàlia</t>
  </si>
  <si>
    <t>Università degli Studi di Foggia</t>
  </si>
  <si>
    <t>Università degli Studi di Palermo</t>
  </si>
  <si>
    <t>Portugal</t>
  </si>
  <si>
    <t>Instituto Politécnico de Santarém</t>
  </si>
  <si>
    <t>MOU</t>
  </si>
  <si>
    <t>Andorra</t>
  </si>
  <si>
    <t>EMAP S.A.U.</t>
  </si>
  <si>
    <t>Font: URV en xifres. Mobilitat OUT</t>
  </si>
  <si>
    <t>Font: URV en xifres. Mobilitat IN</t>
  </si>
  <si>
    <t>Nombre espais</t>
  </si>
  <si>
    <t>Alumnes actius (%)</t>
  </si>
  <si>
    <t>Àmbit</t>
  </si>
  <si>
    <t>Tutories acadèmiques</t>
  </si>
  <si>
    <t>Instal·lacions</t>
  </si>
  <si>
    <t>Estic satisfet/a amb l'ús de l'Entorn Virtual de Formació (Moodle) per part del professorat de l’assignatura</t>
  </si>
  <si>
    <t>La disponibilitat de la bibliografia recomanada a l’assignatura és suficient</t>
  </si>
  <si>
    <t>Les condicions d’aules, laboratoris i altres mitjans han permès un desenvolupament adequat de l’assignatura</t>
  </si>
  <si>
    <t>Les instal·lacions del campus han permès un desenvolupament adequat de l'assignatura</t>
  </si>
  <si>
    <t>Serveis de suport</t>
  </si>
  <si>
    <t>Sí (75,83%)</t>
  </si>
  <si>
    <t>Has trobat fàcilment al web la informació que necessites sobre la titulació?</t>
  </si>
  <si>
    <t>Sí (85,26%)</t>
  </si>
  <si>
    <t>Font: Elaboració pròpia.</t>
  </si>
  <si>
    <t>Participació</t>
  </si>
  <si>
    <t xml:space="preserve">Mitjana pregunta </t>
  </si>
  <si>
    <t>Potencials</t>
  </si>
  <si>
    <t>1. M'he integrat a l'entorn universitari</t>
  </si>
  <si>
    <t>2. Estic satisfet amb la relació amb els companys a la titulació</t>
  </si>
  <si>
    <t>3. L'ambient d'aprenentatge a la titulació és de col·laboració</t>
  </si>
  <si>
    <t>4. L'ambient d'aprenentatge a la titulació és de competitivitat</t>
  </si>
  <si>
    <t>5. Què t'ha motivat a escollir aquests estudis?</t>
  </si>
  <si>
    <t>M'agrada la professió que s'en deriva (64,70%)</t>
  </si>
  <si>
    <t>6. Consideres que la teva formació prèvia és adequada per seguir els teus estudis?</t>
  </si>
  <si>
    <t>Sí (82,35%)</t>
  </si>
  <si>
    <t>7. Consideres que el teu nivell TIC et permet desenvolupar els teus estudis?</t>
  </si>
  <si>
    <t>Sí (76,87%)</t>
  </si>
  <si>
    <t>8. Quines activitats fas a la Universitat?</t>
  </si>
  <si>
    <t>Només assisteixo a classe i estudio (55,88%)</t>
  </si>
  <si>
    <t>9. Sense tenir en compte els períodes de vacances, durant aquest curs compagines feina i estudis?</t>
  </si>
  <si>
    <t>Sí (55,988%)</t>
  </si>
  <si>
    <t>10. La feina que fas està relacionada amb els teus estudis?</t>
  </si>
  <si>
    <t>Sí (78,95%)</t>
  </si>
  <si>
    <t>No (52,94%)</t>
  </si>
  <si>
    <t>Font: Estudi de primer curs primer quadrimestre. Adreçat als estudiants de nou accés.</t>
  </si>
  <si>
    <t>1. Coneixes els diferents programes de mobilitat als que pots optar?</t>
  </si>
  <si>
    <t>Sí (53,85%)</t>
  </si>
  <si>
    <t>2. Saps que pots fer una mobilitat sota el Programa "Erasmus+" en cada cicle (grau, màster i doctorat)?</t>
  </si>
  <si>
    <t>Sí (61,54%)</t>
  </si>
  <si>
    <t>3. Saps que a part d'estada de mobilitat d'estudis pots anar a fer estada de mobilitat de pràctiques?</t>
  </si>
  <si>
    <t>4. Els horaris de classe són adequats per a la teva formació?</t>
  </si>
  <si>
    <t>Sí (84,62%)</t>
  </si>
  <si>
    <t>5. Creus que pots finalitzar aquesta titulació en el temps previst (4 anys)?</t>
  </si>
  <si>
    <t>6. Estàs satisfet amb la carrera que estudies?</t>
  </si>
  <si>
    <t>7. La teva percepcio sobre la carrera ha millorat respecte a la que tenies quan vas iniciar els estudis?</t>
  </si>
  <si>
    <t>Sí (46,15%)</t>
  </si>
  <si>
    <t>Assisteixo a classe, estudio i faig activitats socials, culturals, de participació, etc.  (61,54%)</t>
  </si>
  <si>
    <t>Sí (63,64%)</t>
  </si>
  <si>
    <t>Sí (76,92%)</t>
  </si>
  <si>
    <t>Font: Estudi de Percepció de la Docència de 2n i 3r curs.</t>
  </si>
  <si>
    <t>1. El pla d'Estudis de la titulació ha permès una progressió adequada del meu aprenentatge</t>
  </si>
  <si>
    <t>2. Hi ha hagut una bona coordinació en el contingut de les assignatures de la Titulació per evitar solapaments</t>
  </si>
  <si>
    <t>3. La formació m'ha ajudat a millorar les meves capacitats de comunicació en públic</t>
  </si>
  <si>
    <t>4. La formació m'ha ajudat a millorar la capacitat de communicació escrita</t>
  </si>
  <si>
    <t>5. La formació m'ha ajudat a millorar la meva capacitat de treballar de forma autónoma</t>
  </si>
  <si>
    <t>6. La formació m'ha ajudat a desenvolupar la meva capacitat de prendre decisions</t>
  </si>
  <si>
    <t>7. La formació m'ha ajudat a desenvolupar la meva capacitat de resoldre problemes</t>
  </si>
  <si>
    <t>8. La formació m'ha ajudat a desenvolupar la meva capacitat de treball en equip</t>
  </si>
  <si>
    <t>9. La formació m'ha ajudat a millorar les meves competències per a la gestió de la informació</t>
  </si>
  <si>
    <t>10. La formació m'ha ajudat a millorar la meva capacitat de treballar en llengües estrangeres</t>
  </si>
  <si>
    <t>11. La formació m'ha ajudat a millorar les meves competències per l'ús de les TIC</t>
  </si>
  <si>
    <t>12. La formació m'ha ajudat a reflexionar vers aspectes rellevants de responsabilitat social i ètica</t>
  </si>
  <si>
    <t>13. La formació m'ha ajudat a millorar l'habilitat per definir el perfil acadèmic i professional futur</t>
  </si>
  <si>
    <t>14. La formació m'ha ajudat a millorar les capacitats per a l'activitat professional</t>
  </si>
  <si>
    <t>15. M'he integrat a l'entorn universitari</t>
  </si>
  <si>
    <t>16. Estic satisfet amb la relació amb els companys a la titulació</t>
  </si>
  <si>
    <t>17. Estàs satisfet amb la titulació que has estudiat?</t>
  </si>
  <si>
    <t>Sí (80%)</t>
  </si>
  <si>
    <t>18. Si tornessis a començar triaries la mateixa titulació?</t>
  </si>
  <si>
    <t>19. Recomanaries la URV (EUSES TE) a qui volgués iniciar estudis?</t>
  </si>
  <si>
    <t>Sí (100%)</t>
  </si>
  <si>
    <t>20. Perspectives de futur?</t>
  </si>
  <si>
    <t>Estudiar un màster (60%)</t>
  </si>
  <si>
    <t>Font: Estudi de Percepció de la Docència de 4t curs.</t>
  </si>
  <si>
    <t xml:space="preserve">Grau en Fisioteràpia </t>
  </si>
  <si>
    <t>Tipus crèdit</t>
  </si>
  <si>
    <t>Durada</t>
  </si>
  <si>
    <t>Estudiants assignatura</t>
  </si>
  <si>
    <t>Tipus convocatòria</t>
  </si>
  <si>
    <t>Notes Estudiants</t>
  </si>
  <si>
    <t>APROVAT</t>
  </si>
  <si>
    <t>NO PRESENTAT</t>
  </si>
  <si>
    <t>NOTABLE</t>
  </si>
  <si>
    <t>SUSPENS</t>
  </si>
  <si>
    <t>EXCEL·LENT</t>
  </si>
  <si>
    <t>MATRÍCULA D'HONOR</t>
  </si>
  <si>
    <t>Anatomia aplicada a l'activitat física i l'esport</t>
  </si>
  <si>
    <t>Semestral</t>
  </si>
  <si>
    <t>1ª i 2ª convocatòria</t>
  </si>
  <si>
    <t>Aprenentatge i desenvolupament motor</t>
  </si>
  <si>
    <t>Esports d’adversari:</t>
  </si>
  <si>
    <t>Esports individuals: Atletisme</t>
  </si>
  <si>
    <t>Fisiologia de l'exercici I</t>
  </si>
  <si>
    <t>Història i fonaments socioculturals de l’activitat física i l’esport</t>
  </si>
  <si>
    <t>Jocs i habilitats motrius</t>
  </si>
  <si>
    <t>Psicologia aplicada a l'activitat física i l'esport</t>
  </si>
  <si>
    <t xml:space="preserve">Fisiologia de l'exercici 2 </t>
  </si>
  <si>
    <t xml:space="preserve">Kinesiologia i biomecànica del moviment </t>
  </si>
  <si>
    <t xml:space="preserve">Principis didàctics de l'activitat física i l'esport </t>
  </si>
  <si>
    <t xml:space="preserve">Programació en els ensenyaments en el sistema educatiu </t>
  </si>
  <si>
    <t>Esports Col·lectius</t>
  </si>
  <si>
    <t xml:space="preserve">Esports Aquàtics </t>
  </si>
  <si>
    <t xml:space="preserve">Teoria de l'Entrenament I </t>
  </si>
  <si>
    <t xml:space="preserve">Estadística i metodologia de la investigació aplicada a l'activitat física </t>
  </si>
  <si>
    <t xml:space="preserve">Legislació esportiva i direcció de sistemes i organitzacions </t>
  </si>
  <si>
    <t>Activitat Física en la naturalesa</t>
  </si>
  <si>
    <t>Teoria de l'Entrenament II</t>
  </si>
  <si>
    <t>Prescripció de l'exercici física per a la salut</t>
  </si>
  <si>
    <t>Nutrició aplicada a l'activitat física i l'esport</t>
  </si>
  <si>
    <t>Activitat física i de l'esport per a persones amb alguna discapacitat</t>
  </si>
  <si>
    <t>Teoria de l'entrenament 3</t>
  </si>
  <si>
    <t>Disseny, intervenció i avaluació en l'educació física i l'esport</t>
  </si>
  <si>
    <t>Noves tendències en l'entrenament esportiu</t>
  </si>
  <si>
    <t>Noves tendències en l’ensenyament de l’activitat física i l’esport</t>
  </si>
  <si>
    <t>Noves tendències en la gestió i recreació esportiva</t>
  </si>
  <si>
    <t>Noves tendències en l’activitat física i qualitat de vida</t>
  </si>
  <si>
    <t>1ª convocatòria</t>
  </si>
  <si>
    <t>Treball de fi de grau</t>
  </si>
  <si>
    <t>TOTAL GRAU</t>
  </si>
  <si>
    <t>Total 1r Curs</t>
  </si>
  <si>
    <t>Font: URV en xifres. Informes: Elaboració Pròpia</t>
  </si>
  <si>
    <t>ACRG12. Rendiment acadèmic per assignatura (per convocatòria)</t>
  </si>
  <si>
    <t>ACRM10. Rendiment acadèmic per assignatura (per convocatòria)</t>
  </si>
  <si>
    <t>Taxa d’èxit</t>
  </si>
  <si>
    <t>Taxa de rendiment</t>
  </si>
  <si>
    <t>ACRG10 - Assignatures segons taxa d'èxit i taxa de rendiment</t>
  </si>
  <si>
    <t>ACRM08 - Assignatures segons taxa d'èxit i taxa de rendiment</t>
  </si>
  <si>
    <t>Taxa de rendiment acadèmic</t>
  </si>
  <si>
    <t>Taxa de rendiment acadèmic a 1r curs</t>
  </si>
  <si>
    <t>Taxa d’abandonament</t>
  </si>
  <si>
    <t>Taxa d'abandonament a 1r</t>
  </si>
  <si>
    <t>Taxa d'èxit</t>
  </si>
  <si>
    <t>Taxa de graduació en t</t>
  </si>
  <si>
    <t>Taxa de graduació  en t+1</t>
  </si>
  <si>
    <t>Taxa d’eficiència</t>
  </si>
  <si>
    <t>Durada mitjana dels estudis</t>
  </si>
  <si>
    <t>4 anys</t>
  </si>
  <si>
    <t>4,24 anys</t>
  </si>
  <si>
    <t>4,31 anys</t>
  </si>
  <si>
    <t>4,36 anys</t>
  </si>
  <si>
    <t>4,38 anys</t>
  </si>
  <si>
    <t>ACRG07 - Resultats acadèmics</t>
  </si>
  <si>
    <t>ACRG09 - Resultats acadèmics de 1r curs</t>
  </si>
  <si>
    <t>ACRG11 - Titulats de grau</t>
  </si>
  <si>
    <t>ACRG13 - Taxa d’abandonament de grau</t>
  </si>
  <si>
    <t>ACRG14 – Taxa de graduació de grau</t>
  </si>
  <si>
    <t>ACRM05 - Resultats acadèmics</t>
  </si>
  <si>
    <t>ACRM07 - Resultats acadèmics de 1er curs</t>
  </si>
  <si>
    <t>ACRM09 - Titulats de màster</t>
  </si>
  <si>
    <t>ACRM11 - Taxa d’abandonament de màster</t>
  </si>
  <si>
    <t>ACRM12 - Taxa de graduació de màster</t>
  </si>
  <si>
    <t>Centre</t>
  </si>
  <si>
    <t>Número d’estudiants</t>
  </si>
  <si>
    <t>Poliesportiu UFEC Barcelona</t>
  </si>
  <si>
    <t>Curriculars</t>
  </si>
  <si>
    <t>Serviesport - TGN</t>
  </si>
  <si>
    <t>Gimnàstic Tarragona</t>
  </si>
  <si>
    <t>Bayamón FC (PUR)</t>
  </si>
  <si>
    <t>ReqSport</t>
  </si>
  <si>
    <t>Sevilla FC</t>
  </si>
  <si>
    <t>CAR Sant Cugat - FCA</t>
  </si>
  <si>
    <t>Siel Bleu - Amposta</t>
  </si>
  <si>
    <t>La Fanecada - Alcanar</t>
  </si>
  <si>
    <t>Learn &amp; Fit - Amposta</t>
  </si>
  <si>
    <t>La Huella - Tortosa</t>
  </si>
  <si>
    <t>UE Rapitenca</t>
  </si>
  <si>
    <t>Mitjana pregunta</t>
  </si>
  <si>
    <t>1.El procés d’assignació de les PE és adequat.</t>
  </si>
  <si>
    <t>2.Al començar les pràctiques tinc la informació adient per saber que faré.</t>
  </si>
  <si>
    <t>3.Al començar les pràctiques tinc la informació adient per saber com m’avaluaran.</t>
  </si>
  <si>
    <t xml:space="preserve">4.El volum de treball d’aquesta assignatura és l’adequat.  </t>
  </si>
  <si>
    <t xml:space="preserve">5.El seguiment de les pràctiques per part del tutor professional és adequat. </t>
  </si>
  <si>
    <t>6.Valora de l’1 al 7 la teva estada al lloc on has fet les pràctiques.</t>
  </si>
  <si>
    <t>7.El seguiment de les pràctiques per part del tutor acadèmic és adequat.</t>
  </si>
  <si>
    <t>8.La manera com m’avaluen les PE és adequada.</t>
  </si>
  <si>
    <t>9.Les PE m’han ofert l’oportunitat de tenir un contacte amb el món laboral.</t>
  </si>
  <si>
    <t xml:space="preserve">10.Les PE m’han permès aplicar els coneixements i habilitats adquirits durant la titulació. </t>
  </si>
  <si>
    <t>11.Les pràctiques externes faciliten la inserció laboral.</t>
  </si>
  <si>
    <t xml:space="preserve">12.Valora de l’1 al 7 la satisfacció amb el desenvolupament de l’assignatura. </t>
  </si>
  <si>
    <t>2018-2019</t>
  </si>
  <si>
    <t>1.El procés d’assignació del TFG és adequat</t>
  </si>
  <si>
    <t>2.La informació sobre l’assignatura és clara i entenedora (objectius, planificació i criteris d’avaluació).</t>
  </si>
  <si>
    <t>3.El volum de treball d’aquesta assignatura és l’adequat.</t>
  </si>
  <si>
    <t xml:space="preserve">4.El seguiment per part del tutor ha estat útil per fer el TFG. </t>
  </si>
  <si>
    <t>5.La manera com m’avaluen el TFG es adequada.</t>
  </si>
  <si>
    <t>6.El TFG m’ofereix oportunitats de participar en activitats de recerca i/o professionals.</t>
  </si>
  <si>
    <t>7.El TFG m’ha permès valorar el meu grau d’assoliment de les competències de la titulació.</t>
  </si>
  <si>
    <t xml:space="preserve">8.El TFG m’ha estat útil per consolidar competències de la titulació. </t>
  </si>
  <si>
    <t>9.Valora de l’1 al 7 la satisfacció amb el desenvolupament de l’assignatura.</t>
  </si>
  <si>
    <t>Mètodes docents</t>
  </si>
  <si>
    <t>Sistema d’avaluació</t>
  </si>
  <si>
    <t>Com m’avaluen a l’assignatura m’ajuda a aprendre</t>
  </si>
  <si>
    <t>Esports d’adversari</t>
  </si>
  <si>
    <t>Esports individuals: Judo</t>
  </si>
  <si>
    <t>Esports individuals: Atletisme I</t>
  </si>
  <si>
    <t>Esports Col·lectius: Futbol I</t>
  </si>
  <si>
    <t>Esports Col·lectius: Handbol</t>
  </si>
  <si>
    <t>Ampliació dels esports: futbol II</t>
  </si>
  <si>
    <t>Global titulació</t>
  </si>
  <si>
    <t>Càrrega de treball</t>
  </si>
  <si>
    <t>Professorat (atenció personalitzada)</t>
  </si>
  <si>
    <t>ANATOMIA I</t>
  </si>
  <si>
    <t>ANATOMIA II</t>
  </si>
  <si>
    <t>BASES DE COMUNICACIÓ I ÈTICA</t>
  </si>
  <si>
    <t>BASES DE DOCUMENTACIÓ I EDUCACIÓ</t>
  </si>
  <si>
    <t>FÍSICA PER FISIOTERÀPIA I BIOMECÀNICA</t>
  </si>
  <si>
    <t>FISIOLOGIA I</t>
  </si>
  <si>
    <t>FONAMENTS DE FISIOTERÀPIA</t>
  </si>
  <si>
    <t>PROCEDIMENTS GENERALS EN FISIOTERÀPIA I</t>
  </si>
  <si>
    <t>PROCEDIMENTS GENERALS EN FISIOTERÀPIA II</t>
  </si>
  <si>
    <t>VALORACIÓ EN FISIOTERÀPIA I</t>
  </si>
  <si>
    <t>BIOESTADÍSTICA</t>
  </si>
  <si>
    <t>BIOMECÀNICA CLÍNICA</t>
  </si>
  <si>
    <t>CINESITERÀPIA</t>
  </si>
  <si>
    <t>FISIOLOGIA II</t>
  </si>
  <si>
    <t>FISIOTERÀPIA EN ESPECIALITATS CLÍNIQUES I</t>
  </si>
  <si>
    <t>FISIOTERÀPIA INTEGRADA I</t>
  </si>
  <si>
    <t>MÈTODES ESPECÍFICS DE INTERVENCIÓ EN FISIOTERÀPIA I</t>
  </si>
  <si>
    <t>PATOLOGIA QUIRÚRGICA</t>
  </si>
  <si>
    <t>PRÀCTIQUES CLÍNIQUES I</t>
  </si>
  <si>
    <t>PROCEDIMENTS GENERALS EN FISIOTERÀPIA III</t>
  </si>
  <si>
    <t>PSICOLOGIA</t>
  </si>
  <si>
    <t>VALORACIÓ EN FISIOTERÀPIA II</t>
  </si>
  <si>
    <t>FISIOTERÀPIA CARDIORESPIRATÒRIA</t>
  </si>
  <si>
    <t>MÈTODES ESPECÍFICS DE INTERVENCIÓ EN FISIOTERÀPIA II</t>
  </si>
  <si>
    <t>PATOLOGIA GINECOLÒGICA I PEDIÀTRICA</t>
  </si>
  <si>
    <t>FISIOTERÀPIA INTEGRADA II</t>
  </si>
  <si>
    <t>MÈTODES ESPECÍFICS DE INTERVENCIÓ EN FISIOTERÀPIA III</t>
  </si>
  <si>
    <t>RADIOLOGIA</t>
  </si>
  <si>
    <t>FARMACOLOGIA</t>
  </si>
  <si>
    <t>FISIOTERÀPIA EN ESPECIALITATS CLÍNIQUES II</t>
  </si>
  <si>
    <t>FISIOTERÀPIA EN ESPECIALITATS CLÍNIQUES II (Pla 2019)</t>
  </si>
  <si>
    <t>2ª i 2ª convocatòria</t>
  </si>
  <si>
    <t>PATOLOGIA MÈDICA</t>
  </si>
  <si>
    <t>PRÀCTIQUES CLÍNIQUES II</t>
  </si>
  <si>
    <t>REHABILITACIÓ I TERAPÈUTIQUES ASSOCIADES</t>
  </si>
  <si>
    <t>MANEIG DEL DOLOR</t>
  </si>
  <si>
    <t>DISENY I GESTIÓ D'UN PROJECTE DE RECERCA</t>
  </si>
  <si>
    <t>NUTRICIÓ I ACTIVITAT FÍSICA</t>
  </si>
  <si>
    <t>Fisioteràpia de l'Esport I</t>
  </si>
  <si>
    <t>Legislació Sanitària</t>
  </si>
  <si>
    <t>Organització i Gestió Sanitària</t>
  </si>
  <si>
    <t>PRÀCTIQUES TUTELADES OPCIONAL: INVESTIGACIÓ, ESPORT, HIDROTERÀPIA, EXT</t>
  </si>
  <si>
    <t>FISIOTERÀPIA GERIÀTRICA</t>
  </si>
  <si>
    <t>FISIOTERÀPIA HOSPITALÀRIA</t>
  </si>
  <si>
    <t>FISIOTERÀPIA DOMICILIÀRIA</t>
  </si>
  <si>
    <t>FISIOTERÀPIA EN ATENCIÓ PRIMÀRIA</t>
  </si>
  <si>
    <t>TFG</t>
  </si>
  <si>
    <t>Teràpies afins en el maneig del dolor</t>
  </si>
  <si>
    <t>Fisioteràpia de l'esport</t>
  </si>
  <si>
    <t>FISIOTERÀPIA DE L'ESPORT I</t>
  </si>
  <si>
    <t>LEGISLACIÓ SANITÀRIA</t>
  </si>
  <si>
    <t>SALUT PÚBLICA</t>
  </si>
  <si>
    <t>ORGANITZACIÓ I GESTIÓ SANITÀRIA</t>
  </si>
  <si>
    <t>FISIOTERÀPIA INTEGRADA III</t>
  </si>
  <si>
    <t>INTRODUCCIÓ A LA TERÀPIA MANIPULATIVA PERIFÈRICA</t>
  </si>
  <si>
    <t>ERGONOMIA APLICADA</t>
  </si>
  <si>
    <t>FISIOTERÀPIA I ENVELLIMENT</t>
  </si>
  <si>
    <t>TÈCNIQUES ESPECÍFIQUES EN FISIOTERÀPIA</t>
  </si>
  <si>
    <t>TERÀPIES AFINS AL MANEIG DEL DOLOR</t>
  </si>
  <si>
    <t>FISIOTERÀPIA DE L'ESPORT</t>
  </si>
  <si>
    <t xml:space="preserve">Taxa de graduació en t  </t>
  </si>
  <si>
    <t>Taxa de graduació en t+1</t>
  </si>
  <si>
    <t>4,21 anys</t>
  </si>
  <si>
    <t>4,55 anys</t>
  </si>
  <si>
    <t>4,42 anys</t>
  </si>
  <si>
    <t>4,54 anys</t>
  </si>
  <si>
    <t>Tipologia</t>
  </si>
  <si>
    <t>Hospital de Tortosa Verge de la Cinta (Tortosa)</t>
  </si>
  <si>
    <t>Clínica Terres de l'Ebre (Tortosa)</t>
  </si>
  <si>
    <t>Centre Atenció Primària Baix Ebre (Tortosa)</t>
  </si>
  <si>
    <t>Hospital Santa Creu (Jesús-Tortosa)</t>
  </si>
  <si>
    <t>Residència diocesana d'ancians Sant Miquel Arcàngel (Tortosa)</t>
  </si>
  <si>
    <t>Escola Verge de la Cinta (Tortosa)</t>
  </si>
  <si>
    <t>Hospital Comarcal Amposta</t>
  </si>
  <si>
    <t>Associació de famílies amb disminuïts Psíquics de la Comarca del Monstià (APASA) (Amposta)</t>
  </si>
  <si>
    <t>Domiciliària (Tortosa, Amposta, Deltebre)</t>
  </si>
  <si>
    <t>Eurosport (Barcelona)</t>
  </si>
  <si>
    <t>Centre d'Atenció Primària Salou</t>
  </si>
  <si>
    <t>Grau en FISIOTERÀPIA</t>
  </si>
  <si>
    <t>2018-19 CAFÉ</t>
  </si>
  <si>
    <t>Satisfacció global</t>
  </si>
  <si>
    <t>Física per a la fisioteràpia i biomecànica</t>
  </si>
  <si>
    <t>Fonaments de Fisioteràpia</t>
  </si>
  <si>
    <t xml:space="preserve">Bases de comunicació i ètica </t>
  </si>
  <si>
    <t xml:space="preserve">Bases de documentació i educació </t>
  </si>
  <si>
    <t xml:space="preserve">Procediments generals en fisioteràpia II </t>
  </si>
  <si>
    <t xml:space="preserve">Psicologia </t>
  </si>
  <si>
    <t xml:space="preserve">Patologia quirúrgica </t>
  </si>
  <si>
    <t>Mètodes específics d'intervenció en fisioteràpia I</t>
  </si>
  <si>
    <t>Fisioteràpia integrada I</t>
  </si>
  <si>
    <t xml:space="preserve">Biomecànica clínica </t>
  </si>
  <si>
    <t>Fisioteràpia en especialitats clíniques i</t>
  </si>
  <si>
    <t>Mètodes específics d’intervenció en Fisioteràpia II</t>
  </si>
  <si>
    <t>Patologia ginecologica i pediàtrica</t>
  </si>
  <si>
    <t xml:space="preserve">Rehabilitació i terapèutiques associades </t>
  </si>
  <si>
    <t xml:space="preserve">Patologia mèdica </t>
  </si>
  <si>
    <t xml:space="preserve">Disseny i gestió d'un projecte de recerca </t>
  </si>
  <si>
    <t>Mètodes específics d'intervenció en fisioteràpia III</t>
  </si>
  <si>
    <t xml:space="preserve">Maneig del dolor </t>
  </si>
  <si>
    <t xml:space="preserve">Fisioteràpia de l'esport 1_ fonaments bàsics de teoria de l'entrenament </t>
  </si>
  <si>
    <t>Teràpies afins en el maneig del dolor</t>
  </si>
  <si>
    <t>Salut pública</t>
  </si>
  <si>
    <t>Introducció a la terapia manual manipulativa perifèrica</t>
  </si>
  <si>
    <t>Legislació sanitària</t>
  </si>
  <si>
    <t>Organització i gestió sanitària</t>
  </si>
  <si>
    <t>Fisioteràpia i envelliment</t>
  </si>
  <si>
    <t>Fisioteràpia integrada III</t>
  </si>
  <si>
    <t>Tècniques específiques en fisioteràpia</t>
  </si>
  <si>
    <t>1. El perfil d'ingrés dels estudiants</t>
  </si>
  <si>
    <t>2. L'estructura del pla d'estudis (matèries i el seu pes)</t>
  </si>
  <si>
    <t>3. El perfil de competències en la titulació</t>
  </si>
  <si>
    <t>4. L'organització del desplegament del pla d'estudis (grups, horaris, etc.)</t>
  </si>
  <si>
    <t>5. Les metodologies docents que heu utilitzat</t>
  </si>
  <si>
    <t>6. Els sistemes d'avaluació que heu utilitzat</t>
  </si>
  <si>
    <t>7. El treball i la dedicació dels estudiants</t>
  </si>
  <si>
    <t>8. Els recursos docents disponibles</t>
  </si>
  <si>
    <t>9. El suport institucional per al desenvolupament de l'activitat docent (Campus Virtual, CRAI...)</t>
  </si>
  <si>
    <t>10. La coordinació amb la resta de docents de la titulació</t>
  </si>
  <si>
    <t>11. Les condicions i la qualitat de les instal·lacions</t>
  </si>
  <si>
    <t>12. L'organització i l'avaluació dels Treballs Fi de Grau (TFG)</t>
  </si>
  <si>
    <t>13. L'organització i l'avaluació de les pràctiques externes</t>
  </si>
  <si>
    <t>14. El rendiment acadèmic obtingut pels estudiants de les matèries que heu impartit</t>
  </si>
  <si>
    <t>15. El nivell formatiu assolit pels estudiants quan es titulen</t>
  </si>
  <si>
    <t>16. La vostra satisfacció amb la titulació</t>
  </si>
  <si>
    <t>Font: Enquesta satisfacció professorat</t>
  </si>
  <si>
    <t>Sí (92,86%)</t>
  </si>
  <si>
    <t>Data informe: 10/12/2020</t>
  </si>
  <si>
    <t>Data informe:  10/12/2020</t>
  </si>
  <si>
    <t>França</t>
  </si>
  <si>
    <t>La Clinique du Parc</t>
  </si>
  <si>
    <t>Centre Hospitalier d'Avignon</t>
  </si>
  <si>
    <t>Centre Hospitalier Intercommunales Aix- Pertuis</t>
  </si>
  <si>
    <t>Clinique de l'Union - Ramsay Générale de Santé</t>
  </si>
  <si>
    <t>Centre Cerbère Bouffard Vercelli</t>
  </si>
  <si>
    <t>FISIO /10</t>
  </si>
  <si>
    <t>El tutor/a ha propiciat un bon clima de relació personal i de comunicació?</t>
  </si>
  <si>
    <t>Has fet alguna tutoria amb el teu tutor/a?</t>
  </si>
  <si>
    <t>Has pogut parlar amb el tutor/a sempre que ho has necessitat?</t>
  </si>
  <si>
    <t>Estàs satisfet/a amb la informació rebuda a la tutoria?</t>
  </si>
  <si>
    <t>Estàs satisfet/a amb la forma de resoldre les qüestions per part del teu tutor/a?</t>
  </si>
  <si>
    <t>La tutoria t'ha estat útil?</t>
  </si>
  <si>
    <t>La difusió sobre la tutoria ha estat correcta?</t>
  </si>
  <si>
    <t>Recomanaires a un/a company/a parlar amb el seu tutor/a?</t>
  </si>
  <si>
    <t>Has utilitzat l'espai de tutoria acadèmica a Moodle?</t>
  </si>
  <si>
    <t>L'espai de tutoria acadèmica t'ha estat útil?</t>
  </si>
  <si>
    <t>Quan has hagut de fer un tràmit administratiu, t’ha estat fàcil saber-ne el procediment?</t>
  </si>
  <si>
    <t>Adaptacions per covid-19</t>
  </si>
  <si>
    <t>L'aprenentatge online ha suposat un excés de feina?</t>
  </si>
  <si>
    <t>Sense tenir en compte incidències puntuals, has tingut dificultats organitzatives per estudiar?</t>
  </si>
  <si>
    <t xml:space="preserve">Sense considerar problemes puntuals, has tingut dificultats tècniques? </t>
  </si>
  <si>
    <t>Sí (65,57%)</t>
  </si>
  <si>
    <t>Sí (79%)</t>
  </si>
  <si>
    <t>No (61,62%)</t>
  </si>
  <si>
    <t>No (63,46%)</t>
  </si>
  <si>
    <t>No (83,01%)</t>
  </si>
  <si>
    <t>Sí (95,45%)</t>
  </si>
  <si>
    <t>1r curs (1Q1R)</t>
  </si>
  <si>
    <t>2n i 3r curs (Durant)</t>
  </si>
  <si>
    <t>4t curs (Acaben)</t>
  </si>
  <si>
    <t>Global</t>
  </si>
  <si>
    <t>No  (90,70%)</t>
  </si>
  <si>
    <t>No (51,22%)</t>
  </si>
  <si>
    <t>Sí (85,71%)</t>
  </si>
  <si>
    <t>No (52,07%)</t>
  </si>
  <si>
    <t>Sí (58,14%)</t>
  </si>
  <si>
    <t>Sí (92,68%)</t>
  </si>
  <si>
    <t>Sí (81,23%)</t>
  </si>
  <si>
    <t>No (76,31%)</t>
  </si>
  <si>
    <t>No (67,44%)</t>
  </si>
  <si>
    <t>No (82,93%)</t>
  </si>
  <si>
    <t>No (78,57%)</t>
  </si>
  <si>
    <t>Si (69,23%)</t>
  </si>
  <si>
    <t>Sí (60,98%)</t>
  </si>
  <si>
    <t>Sí (50,54%)</t>
  </si>
  <si>
    <t>No (66,67%)</t>
  </si>
  <si>
    <t>No (85,71%)</t>
  </si>
  <si>
    <t>No (75,18%)</t>
  </si>
  <si>
    <t>Sí (70,37%)</t>
  </si>
  <si>
    <t>Sí (66,67%)</t>
  </si>
  <si>
    <t>Sí (79,19%)</t>
  </si>
  <si>
    <t>Sí (90,70%)</t>
  </si>
  <si>
    <t>Sí (97,56%)</t>
  </si>
  <si>
    <t>Sí (91,32%)</t>
  </si>
  <si>
    <t>No (57,14%)</t>
  </si>
  <si>
    <t>Sí (52,38%)</t>
  </si>
  <si>
    <t>No (83,33%)</t>
  </si>
  <si>
    <t>No (61,54%)</t>
  </si>
  <si>
    <t>Sí (60%)</t>
  </si>
  <si>
    <t>No (75%)</t>
  </si>
  <si>
    <t>No (100%)</t>
  </si>
  <si>
    <t>No (87,50%)</t>
  </si>
  <si>
    <t>Sí (90,91%)</t>
  </si>
  <si>
    <t>Sí (76,19%)</t>
  </si>
  <si>
    <t>Sí (69,77%)</t>
  </si>
  <si>
    <t>Sí (70,73%)</t>
  </si>
  <si>
    <t>Sí (77,79%)</t>
  </si>
  <si>
    <t>Graduats 
2016-17</t>
  </si>
  <si>
    <t>2019-2020</t>
  </si>
  <si>
    <t>2017-2018</t>
  </si>
  <si>
    <t>DISPONIBILITAT, ÚS I ADEQUACIÓ DELS RECURSOS MATERIALS</t>
  </si>
  <si>
    <t>Tutories acadèmiques i Serveis de suport: URV en xifres/Enquestes qualitat docent/Resultat Enquestes/ENQ_S12 Valors estadístics sobre les preguntes de l’enquesta -&gt; Procés: Enquesta avaluació titulació inici/durant/final</t>
  </si>
  <si>
    <t>Instal·lacions: URV en xifres/Enquestes qualitat docent/Resultat Enquestes/ENQ_S12 Valors estadístics sobre les preguntes de l’enquesta -&gt; Procés: Enquesta avaluació professorat Grau</t>
  </si>
  <si>
    <t>M'agrada la professió que s'en deriva (69,49%)</t>
  </si>
  <si>
    <t>Sí (89,83%)</t>
  </si>
  <si>
    <t>Només assisteixo a classe i estudio (54,24%)</t>
  </si>
  <si>
    <t>No (67,80%)</t>
  </si>
  <si>
    <t>Sí (73,68%)</t>
  </si>
  <si>
    <t>11. Has assistit a les jornades d'acollida de principi de curs?</t>
  </si>
  <si>
    <t>Sí (62,71%)</t>
  </si>
  <si>
    <t>Sí (53,66%)</t>
  </si>
  <si>
    <t>Sí (85,37%)</t>
  </si>
  <si>
    <t>Sí (78,05%)</t>
  </si>
  <si>
    <t>Assisteixo a classe, estudio i faig activitats socials, culturals, de participació, etc.  (48,78%)</t>
  </si>
  <si>
    <t>Sí  (56,10%)</t>
  </si>
  <si>
    <t>Sí (60,87%)</t>
  </si>
  <si>
    <t>11. M'he integrat a l'entorn universitari</t>
  </si>
  <si>
    <t>12. L'ambient d'aprenentatge a la titulació és de col·laboració</t>
  </si>
  <si>
    <t>13. L'ambient d'aprenentatge a la titulació és de competitivitat</t>
  </si>
  <si>
    <t>Sí (64.29%)</t>
  </si>
  <si>
    <t>Treballar (42,86%)</t>
  </si>
  <si>
    <t>Estructura i aprenentatge</t>
  </si>
  <si>
    <t>La formació rebuda m'ha permès millorar les meves habilitats comunicatives</t>
  </si>
  <si>
    <t>La formació rebuda m'ha permès millorar les competències personals (nivell de confiança, lideratge, aprenentatge autònom, presa de decisions, resolució de nous problemes, anàlisi crítica, treball en equip, etc.)</t>
  </si>
  <si>
    <t>Impacte personal en els estudis</t>
  </si>
  <si>
    <t>Serveis i equipaments</t>
  </si>
  <si>
    <t>Voluntat de tornar a repetir el mateix títol</t>
  </si>
  <si>
    <t>Voluntat de tornar a estudiar a la mateixa universitat</t>
  </si>
  <si>
    <t>Grau en Fisioteràpia (71048) Pla 2012</t>
  </si>
  <si>
    <t>Taula 40.  Ús de les metodologies i sistema d’avaluació (*) per a cada assignatura, amb la mida del grup, distribució dels temps de treball de l’estudiant, amb presència del professor i treball autònom. Marcat amb blau aquelles que s’utilitzen per l’avaluació de l’assignatura</t>
  </si>
  <si>
    <t>Metodologia Docent</t>
  </si>
  <si>
    <t>Sistema d'avaluació</t>
  </si>
  <si>
    <t>Tipus Activitats d'Avaluació (hores)</t>
  </si>
  <si>
    <t>Codi Assignatura</t>
  </si>
  <si>
    <t>credits</t>
  </si>
  <si>
    <t>curs</t>
  </si>
  <si>
    <t>MD1</t>
  </si>
  <si>
    <t>MD2</t>
  </si>
  <si>
    <t>MD3</t>
  </si>
  <si>
    <t>MD4</t>
  </si>
  <si>
    <t>MD5</t>
  </si>
  <si>
    <t>MD6</t>
  </si>
  <si>
    <t>SA1</t>
  </si>
  <si>
    <t>SA2</t>
  </si>
  <si>
    <t>SA3</t>
  </si>
  <si>
    <t>SA4</t>
  </si>
  <si>
    <t>SA5</t>
  </si>
  <si>
    <t>SA6</t>
  </si>
  <si>
    <t>SA7</t>
  </si>
  <si>
    <t>SA8</t>
  </si>
  <si>
    <t>SA9</t>
  </si>
  <si>
    <t>SA10</t>
  </si>
  <si>
    <t>SA11</t>
  </si>
  <si>
    <t>SA12</t>
  </si>
  <si>
    <t>SA13</t>
  </si>
  <si>
    <t>SA14</t>
  </si>
  <si>
    <t xml:space="preserve">Mida de grups </t>
  </si>
  <si>
    <t>Nº total d'estudiants matriculats a l'assignatura</t>
  </si>
  <si>
    <t>TA1</t>
  </si>
  <si>
    <t>TA2</t>
  </si>
  <si>
    <t>TA3</t>
  </si>
  <si>
    <t>TA4</t>
  </si>
  <si>
    <t>TA5</t>
  </si>
  <si>
    <t>TA6</t>
  </si>
  <si>
    <t>TA7</t>
  </si>
  <si>
    <t>TA8</t>
  </si>
  <si>
    <t>TA9</t>
  </si>
  <si>
    <t>TA10</t>
  </si>
  <si>
    <t>TA11</t>
  </si>
  <si>
    <t>Amb professor</t>
  </si>
  <si>
    <t>Sense professor (Treball autònom)</t>
  </si>
  <si>
    <t>Hores Totals</t>
  </si>
  <si>
    <t>37204004</t>
  </si>
  <si>
    <t>Primer</t>
  </si>
  <si>
    <t>Gran</t>
  </si>
  <si>
    <t>37204005</t>
  </si>
  <si>
    <t>37204002</t>
  </si>
  <si>
    <t>37204006</t>
  </si>
  <si>
    <t>CODI</t>
  </si>
  <si>
    <t xml:space="preserve">Metodologies Docents </t>
  </si>
  <si>
    <t>37204003</t>
  </si>
  <si>
    <t xml:space="preserve">Sessió magistral </t>
  </si>
  <si>
    <t>37204001</t>
  </si>
  <si>
    <t xml:space="preserve">Atenció personalitzada </t>
  </si>
  <si>
    <t>37204112</t>
  </si>
  <si>
    <t xml:space="preserve">Pràctiques clíniques </t>
  </si>
  <si>
    <t>37204122</t>
  </si>
  <si>
    <t>Petit</t>
  </si>
  <si>
    <t xml:space="preserve">Pràctiques en laboratoris i grup petit </t>
  </si>
  <si>
    <t>37204123</t>
  </si>
  <si>
    <t>Proves</t>
  </si>
  <si>
    <t>37204132</t>
  </si>
  <si>
    <t xml:space="preserve">Seminaris </t>
  </si>
  <si>
    <t>Aprenentatge basat en problemes (ABP): Discurs deductiu , treball en equip i capacitat de lideratge.</t>
  </si>
  <si>
    <t>Atenció personalitzada: Avaluació de l'interès i el grau d'implicació de l'estudiant durant les tutories.</t>
  </si>
  <si>
    <t>Cas Clínic: amb preguntes desencadenades. Avaluació del discurs deductiu .</t>
  </si>
  <si>
    <t>37204007</t>
  </si>
  <si>
    <t>Segon</t>
  </si>
  <si>
    <t>Casos pràctics per avaluació: Coneixements teòrics i judici clínic. Desenvolupament professional en diferents àmbits o escenaris.</t>
  </si>
  <si>
    <t>37204103</t>
  </si>
  <si>
    <t>Classes magistrals o expositives: Proves objectives de tipus test, Proves objectives de preguntes curtes; Prova de desenvolupament.</t>
  </si>
  <si>
    <t>37204101</t>
  </si>
  <si>
    <t>ECOE: avaluació de la competència objectiva i estructurada mitjançant prova multiestació amb la participació de pacients estandaritzats, maniquins, pictorials i casos problema.</t>
  </si>
  <si>
    <t>37204008</t>
  </si>
  <si>
    <t>Elaboració i exposició de diferents casos clínics per àmbits d'actuació.</t>
  </si>
  <si>
    <t>37204108</t>
  </si>
  <si>
    <t>Entrevistes amb pacients estandarditzats en laboratori d'habilitats: Habilitats comunicatives.</t>
  </si>
  <si>
    <t>37204115</t>
  </si>
  <si>
    <t>Examen pràctic amb llistat competencial: Avaluació d'aspectes referents a habilitats tècniques, exploratòries, de valoració i aspectes comunicatius.</t>
  </si>
  <si>
    <t>37204119</t>
  </si>
  <si>
    <t>Laboratori d'habilitats: Avaluació d'habilitats tècniques de forma estandarditzada.</t>
  </si>
  <si>
    <t>37204102</t>
  </si>
  <si>
    <t>Mitjà</t>
  </si>
  <si>
    <t>Observació estructurada de la pràctica clínica -Mini- CEX (avaluació formativa amb retroalimentació immediata): Habilitats exploratòries i comunicatives amb pacients reals.</t>
  </si>
  <si>
    <t>37204125</t>
  </si>
  <si>
    <t>Pràctiques clíniques: avaluació continuada, es valorarà l'assistència, la participació i presentació dels informes per a cadascuna de les pràctiques amb un seguiment (rúbriques) del llistat competencial; Examen final pràctic que consistirà en la realització d'un cas clínic, individual i/o en grup.</t>
  </si>
  <si>
    <t>37204124</t>
  </si>
  <si>
    <t>Pràctiques en laboratoris i grup petit: avaluació continuada, es valorarà l'assistència, la participació i presentació dels informes per a cadascuna de les pràctiques amb un seguiment (rúbriques) del llistat competencial; Examen final pràctic que consistirà en la realització d'exercicis pràctics i demostració d'algunes de les habilitats apreses, Treballs: d'anàlisi i reflexió, en grup, sobre articles científics (Continuada del treball en grup); Pràctiques a través de TIC en aules informàtiques: Es valorarà l'assistència i la participació, les memòries i/o informes de pràctiques, realització d'examen pràctic i els portafolis.</t>
  </si>
  <si>
    <t>37204009</t>
  </si>
  <si>
    <t>Semimarios: el professor pot avaluar el grau de preparació prèvia del tema anunciat, Assistència, Prova final consistent en resoldre problemes tipus als treballats a classe.</t>
  </si>
  <si>
    <t>37204133</t>
  </si>
  <si>
    <t>Laboratoris</t>
  </si>
  <si>
    <t>Lectura, reflexions i debat</t>
  </si>
  <si>
    <t>Prova d'Avaluació (Pràctica)</t>
  </si>
  <si>
    <t>Tercer</t>
  </si>
  <si>
    <t>Prova d'Avaluació (Teòrica)</t>
  </si>
  <si>
    <t>Recursos en línia (webquest)</t>
  </si>
  <si>
    <t>Resolució de casos (en grup)</t>
  </si>
  <si>
    <t>Sessions Magistrals</t>
  </si>
  <si>
    <t>37204116</t>
  </si>
  <si>
    <t>Quart</t>
  </si>
  <si>
    <t>37204117</t>
  </si>
  <si>
    <t>37204118</t>
  </si>
  <si>
    <t>37204114</t>
  </si>
  <si>
    <t>37204130</t>
  </si>
  <si>
    <t>37204128</t>
  </si>
  <si>
    <t>37204127</t>
  </si>
  <si>
    <t>37204129</t>
  </si>
  <si>
    <t>37204131</t>
  </si>
  <si>
    <t>37204301</t>
  </si>
  <si>
    <t xml:space="preserve">37204210  </t>
  </si>
  <si>
    <t>37204205</t>
  </si>
  <si>
    <t>37204206</t>
  </si>
  <si>
    <t>Data informe: 24/01/2019</t>
  </si>
  <si>
    <t>Crèdits</t>
  </si>
  <si>
    <t>Tipus Activitats (hores)</t>
  </si>
  <si>
    <t>MD7</t>
  </si>
  <si>
    <t>MD8</t>
  </si>
  <si>
    <t>MD9</t>
  </si>
  <si>
    <t>MD10</t>
  </si>
  <si>
    <t>MD11</t>
  </si>
  <si>
    <t>MD12</t>
  </si>
  <si>
    <t>MD13</t>
  </si>
  <si>
    <t>MD14</t>
  </si>
  <si>
    <t>MD15</t>
  </si>
  <si>
    <t>MD16</t>
  </si>
  <si>
    <t>MD17</t>
  </si>
  <si>
    <t>37214001</t>
  </si>
  <si>
    <t>37214006</t>
  </si>
  <si>
    <t>37214102</t>
  </si>
  <si>
    <t>37214106</t>
  </si>
  <si>
    <t>Judo</t>
  </si>
  <si>
    <t>Tennis</t>
  </si>
  <si>
    <t>37214104</t>
  </si>
  <si>
    <t>37214002</t>
  </si>
  <si>
    <t>37214010</t>
  </si>
  <si>
    <t>37214101</t>
  </si>
  <si>
    <t>37214005</t>
  </si>
  <si>
    <t>Futbol</t>
  </si>
  <si>
    <t>Handbol</t>
  </si>
  <si>
    <t>Futbol II</t>
  </si>
  <si>
    <t>Noves tendències</t>
  </si>
  <si>
    <t>Teoria de l'Entrenament III</t>
  </si>
  <si>
    <t>Noves tendències en l'ensenyament de l'activitat física i l'esport</t>
  </si>
  <si>
    <t>Noves tendències en l'activitat física i qualitat de vida</t>
  </si>
  <si>
    <t>Data informe: 24-02-2020</t>
  </si>
  <si>
    <t>Font: URV en xifres/Enquestes qualitat docent/Resultat Enquestes/ENQ_S12 Valors estadístics sobre les preguntes de l’enquesta -&gt; Procés: Enquesta pràctiques externes de grau</t>
  </si>
  <si>
    <t>Font: URV en xifres/Enquestes qualitat docent/Resultat Enquestes/ENQ_S12 Valors estadístics sobre les preguntes de l’enquesta -&gt; Procés: Enquesta Treball Final de Grau</t>
  </si>
  <si>
    <t>Font: URV en xifres/Enquestes qualitat docent/Resultat Enquestes/ENQ_S12 Valors estadístics sobre les preguntes de l’enquesta -&gt; Procés: Enquesta avaluació professorat grau</t>
  </si>
  <si>
    <t>Font: URV en xifres/Enquestes PDI\Degans\ENQD3 - Dades globals per assignatura</t>
  </si>
  <si>
    <t xml:space="preserve">El volum de treball exigit ha estat coherent amb el nombre de crèdits de les assignatures </t>
  </si>
  <si>
    <t xml:space="preserve">Estic satisfet/a amb el professorat </t>
  </si>
  <si>
    <t xml:space="preserve">La metodologia docent emprada pel professorat ha afavorit el meu aprenentatge </t>
  </si>
  <si>
    <t xml:space="preserve">Els sistemes d'avaluació han permès reflectir adequadament el meu aprenentatge </t>
  </si>
  <si>
    <t xml:space="preserve">Estic satisfet amb la titulació </t>
  </si>
  <si>
    <t xml:space="preserve">La tutorització ha estat útil i ha contribuït a millorar el meu aprenentatge </t>
  </si>
  <si>
    <t xml:space="preserve">L’ús del campus virtual ha facilitat el meu aprenentatge </t>
  </si>
  <si>
    <t>Les pràctiques externes m'han permès aplicar els coneixements adquirits durant la titulació</t>
  </si>
  <si>
    <t>Les accions de mobilitat que he realitzat han estat rellevants per al meu aprenentatge</t>
  </si>
  <si>
    <t xml:space="preserve">El treball de fi de grau m'ha estat útil per consolidar les competències de la titulació </t>
  </si>
  <si>
    <t>Les instal·lacions (aules i espais docents) han estat adequades per afavorir el meu aprenentatge</t>
  </si>
  <si>
    <t>Els recursos facilitats pel serveis de biblioteca i de suport a la docència han respost a les meves necessitats</t>
  </si>
  <si>
    <t>Els serveis de suport a l'estudiant (informació, matriculació, tràmits acadèmics, beques, orientació, etc.) m'han ofert un bon assessorament i atenció</t>
  </si>
  <si>
    <t>He rebut resposta adequada de les meves queixes i suggeriments</t>
  </si>
  <si>
    <t>La informació referent a la titulació al web és accessible i m’ha resultat útil</t>
  </si>
  <si>
    <t xml:space="preserve">L'estructura del pla d'estudis ha permès una progressió adequada del meu aprenentatge </t>
  </si>
  <si>
    <t xml:space="preserve">Hi ha hagut bona coordinació en els continguts de les assignatures per evitar solapaments </t>
  </si>
  <si>
    <t>La formació rebuda m'ha permès millorar les meves capacitats per l’activitat professional</t>
  </si>
  <si>
    <t>Font: Enquesta de satisfacció dels titulats recents de grau (AQU Catalunya)</t>
  </si>
  <si>
    <t>Taxa d'ocupació dels graduats (en %)</t>
  </si>
  <si>
    <t>Graduats amb una feina relacionada amb el que han estudiat (en %)</t>
  </si>
  <si>
    <t>Període</t>
  </si>
  <si>
    <t>Aturat/da</t>
  </si>
  <si>
    <t>Inactiu/va</t>
  </si>
  <si>
    <t>Ocupat/ada</t>
  </si>
  <si>
    <t>Funcions específiques de la titulació</t>
  </si>
  <si>
    <t>Funcions no universitàries</t>
  </si>
  <si>
    <t>Funcions universitàries</t>
  </si>
  <si>
    <t>Font: URV en xifres. ACRG16:Professorat i hores impartides segons categoria del PDI i doctorat en estudis de grau.</t>
  </si>
  <si>
    <t>Nombre PDI ETC (24 ECTS)</t>
  </si>
  <si>
    <t>Estudiants ETC</t>
  </si>
  <si>
    <t>Ràtio Estudiants ETC – PDI ETC</t>
  </si>
  <si>
    <t>Noves tendències en l’activitat física i qualitat de vida*</t>
  </si>
  <si>
    <t>*Assignatura no programada el curs 2019-2020</t>
  </si>
  <si>
    <t>Sí (67%)</t>
  </si>
  <si>
    <t>Sí  (82,33%)</t>
  </si>
  <si>
    <t>Sí (94,12%)</t>
  </si>
  <si>
    <t>Sí (93,27%)</t>
  </si>
  <si>
    <t>TERÀPIES AFINS EN EL MANEIG DEL DOLOR</t>
  </si>
  <si>
    <t>Instituto Universitario Amerike</t>
  </si>
  <si>
    <t>Mèxic</t>
  </si>
  <si>
    <t>Residència d'Avis d'Amposta</t>
  </si>
  <si>
    <t>Onada Tortosa</t>
  </si>
  <si>
    <t>Onada Sant Carles de la Ràpita</t>
  </si>
  <si>
    <t>Mútua Activa  (Tortosa, Amposta, Reus, Tarragona, Barcelona)</t>
  </si>
  <si>
    <t>Centre Mèdic Teknon  (Barcelona)</t>
  </si>
  <si>
    <t>Amposta Salud</t>
  </si>
  <si>
    <t>Associació Provincial de Paràlisi Cerebral de Tarragona (Fisioescola la Muntanyeta)</t>
  </si>
  <si>
    <t>Fisioteràpia Tarragona</t>
  </si>
  <si>
    <t>Sanitas Tarragona</t>
  </si>
  <si>
    <t>STS Marià Fortuny</t>
  </si>
  <si>
    <t>Cabinet Kinesitherapeute</t>
  </si>
  <si>
    <t>Clinique Saint Martin</t>
  </si>
  <si>
    <t>SCM Jad</t>
  </si>
  <si>
    <t>SCM Kine 71</t>
  </si>
  <si>
    <t>Extracurriculars</t>
  </si>
  <si>
    <t>Michael Andre MK</t>
  </si>
  <si>
    <t>SCM Plateau Sante Sport</t>
  </si>
  <si>
    <t>Ajuntament d'Alcanar (Cursa d'Alcanar)</t>
  </si>
  <si>
    <t>Associació Esportiva Corredors.cat</t>
  </si>
  <si>
    <t>Copa d'Espanya Judo</t>
  </si>
  <si>
    <t>Cross Infantil Edifci Seminari</t>
  </si>
  <si>
    <t>Cursa de la Dona 2019</t>
  </si>
  <si>
    <t>Step by Step (L'Hospitalet del Llobregat)</t>
  </si>
  <si>
    <t>Global Perfomance (Barcelona)</t>
  </si>
  <si>
    <t>Tot Cos Fisioteràpia i Nutrició (Tarragona)</t>
  </si>
  <si>
    <t>Centre Hospitalier Universitaire Nîmes (França)</t>
  </si>
  <si>
    <t>Celia Brau (Benicarló - Castelló)</t>
  </si>
  <si>
    <t>Residencia Ajuria (Vitòria-Gasteiz)</t>
  </si>
  <si>
    <t>Residencia Zadorra (Gasteiz)</t>
  </si>
  <si>
    <t>Araski Arabako (Vitòria-Gasteiz)</t>
  </si>
  <si>
    <t>Clínica de fisioteràpia Sant Martí (Barcelona)</t>
  </si>
  <si>
    <t>Fundació Mercè Pla (Tortosa)</t>
  </si>
  <si>
    <t>Centre Hospitalier de Montauban (França)</t>
  </si>
  <si>
    <t>Centre Hospitalier de Salon de Provence (França)</t>
  </si>
  <si>
    <t>Centre Hospitalier Saint Malo (França)</t>
  </si>
  <si>
    <t>Centre Hospitalier Universitaire Lapeyronie de Montpellier (França)</t>
  </si>
  <si>
    <t>Centre Hospitalier Universitaire Montpellier, Hôpital Arnaud-de-Villenueve (França)</t>
  </si>
  <si>
    <t>CHIC Castres-Mazamet (França)</t>
  </si>
  <si>
    <t>Taula 1.1.b. Evolució dels estudiants matriculats per promocions Grau en Fisioteràpia</t>
  </si>
  <si>
    <t>Taula 1.1.a. Evolució dels estudiants matriculats per promocions Grau en CAFE</t>
  </si>
  <si>
    <t>Taula 1.1.c. Evolució dels estudiants matriculats per promocions Doble Titulació</t>
  </si>
  <si>
    <t>Taula 8. Alumnes de nou accés segons edat i gènere</t>
  </si>
  <si>
    <t>Taula 9. Alumnes matriculats segons edat i gènere</t>
  </si>
  <si>
    <t>PERFIL ACCÉS. GRAUS</t>
  </si>
  <si>
    <t xml:space="preserve">Taula 10. Estudiants matriculats per tipus de matrícula (Temps Complert / Temps Parcial) </t>
  </si>
  <si>
    <t>Taula 11. Percentatge d’estudiants segons comarca, província i Comunitat Autònoma de procedència</t>
  </si>
  <si>
    <t>Taula 12. Ubicació de la informació pública sobre el desenvolupament i indicadors de les titulacions de Grau</t>
  </si>
  <si>
    <t>Taula 13. Instruments per a la recollida de la satisfacció dels grups d’interès</t>
  </si>
  <si>
    <t>QUALIFICACIÓ, EXPERIÈNCIA I DEDICACIÓ</t>
  </si>
  <si>
    <t>Taula 14. Perfil general del professorat de la titulació</t>
  </si>
  <si>
    <t xml:space="preserve">Taula 15. Perfil del professorat per categoria </t>
  </si>
  <si>
    <t>Taula 16. Professorat per categoria i segons doctorat</t>
  </si>
  <si>
    <t>Taula 17. Hores de docència impartida per categoria i segons doctorat</t>
  </si>
  <si>
    <t>Taula 18. Assignatures del pla d'estudis</t>
  </si>
  <si>
    <t>Taula 19. Relació estudiants per PDI</t>
  </si>
  <si>
    <t>Taula 20.1. Satisfacció dels estudiants amb el professorat. Curs 2019-2020</t>
  </si>
  <si>
    <t>Taula 20.2. Satisfacció dels estudiants amb el professorat. Evolució</t>
  </si>
  <si>
    <r>
      <t>Taula 22. Projectes d’innovació docent del professorat del centre</t>
    </r>
    <r>
      <rPr>
        <sz val="8"/>
        <rFont val="Calibri"/>
        <family val="2"/>
        <scheme val="minor"/>
      </rPr>
      <t> </t>
    </r>
  </si>
  <si>
    <t>Taula 23. Accions de mobilitat del PDI en el programa ERASMUS</t>
  </si>
  <si>
    <t xml:space="preserve">Taula 24.1. Nombre d’estudiants per tutor/a </t>
  </si>
  <si>
    <t xml:space="preserve">Taula 24.2. Participació dels estudiants a la tutoria de titulació </t>
  </si>
  <si>
    <t>Taula 24.3. Tutories realitzades i tipologia</t>
  </si>
  <si>
    <t>Taula 25. Nombre d’assistents als tallers d’orientació professional</t>
  </si>
  <si>
    <t>Taula 26. Número d’estudiants de mobilitat OUT</t>
  </si>
  <si>
    <t>Taula 27. Número d’estudiants de mobilitat IN</t>
  </si>
  <si>
    <t>Taula 28. Dades ús de Moodle</t>
  </si>
  <si>
    <r>
      <t>Taula 29. Satisfacció amb els sistemes de suport a l’aprenentatge</t>
    </r>
    <r>
      <rPr>
        <sz val="8"/>
        <rFont val="Calibri"/>
        <family val="2"/>
      </rPr>
      <t> </t>
    </r>
  </si>
  <si>
    <t>Taula 30.2. Resultats enquesta satisfacció alumnes durant (2n i 3r curs).</t>
  </si>
  <si>
    <t>Taula 30.3. Resultats enquesta satisfacció alumnes que acaben (4t curs).</t>
  </si>
  <si>
    <t>Taula 31. Relació d’alumnes de Pràctiques Externes</t>
  </si>
  <si>
    <t>Centre Hospitalier d'Arles Joseph Imbert (França)</t>
  </si>
  <si>
    <t>Centre Hospitalier Étienne Clémentel d'Enval (França)</t>
  </si>
  <si>
    <t>Balnéo - Kiné Pôle Santé (Carpentràs, França)</t>
  </si>
  <si>
    <t>Cabinet Clinique Cote d'Emeraude (Saint-Malo, França)</t>
  </si>
  <si>
    <t>Centre de Réeducation le Lavarin (Avignon, França)</t>
  </si>
  <si>
    <t>CHU La Timone (Marseille, França)</t>
  </si>
  <si>
    <t>Clinique Ambroise Paré (Tolouse, França)</t>
  </si>
  <si>
    <t>Clinique du Parc (Castèlnòu de Les, França)</t>
  </si>
  <si>
    <t>Clinique la Pinede (Saint-Estève, França)</t>
  </si>
  <si>
    <t>Clinique Pasteur (Tolouse, França)</t>
  </si>
  <si>
    <t>Hôpital Privé La Casamance (Aubagne, França)</t>
  </si>
  <si>
    <t>Selarl Kines La Croix du Sud (Quint-Fonsegrives, França)</t>
  </si>
  <si>
    <t>SSR La Petite Paix (Lamalou-les-Bains, França)</t>
  </si>
  <si>
    <t>Alain Ratat (Nimes, França)</t>
  </si>
  <si>
    <t>Balkios (Montpellier, França)</t>
  </si>
  <si>
    <t>Cabinet Kinésithérapie du Pôle Medical (Béziers, França)</t>
  </si>
  <si>
    <t>Centre de rééducation fonctionnelle Saint Vincent de Paul (Bourgoin-Jallieu, França)</t>
  </si>
  <si>
    <t>Centre Hospitalier de Réadaptation de Maubreuil (Saint-Herblain, França)</t>
  </si>
  <si>
    <t>Centre Hospitalier Francis Vals (Port-la-Nouvelle, França)</t>
  </si>
  <si>
    <t>Centre Hospitalier Paul Coste Floret (Lamalou-les-Bains, França)</t>
  </si>
  <si>
    <t>Centre Hospitalier Universitaire de Grenoble Alpes (La Tronceh, França)</t>
  </si>
  <si>
    <t>Centre Hospitalier Universitaire de Reims (França)</t>
  </si>
  <si>
    <t>Centre Médical la Roseraie (Lille, França)</t>
  </si>
  <si>
    <t>Centre médical l'égrégore (Caveirac, França)</t>
  </si>
  <si>
    <t>Centre Ster (Saint-Clément-de-Rivière, França)</t>
  </si>
  <si>
    <t>Centro SCM DLM (Sausset-les-Pins, França)</t>
  </si>
  <si>
    <t>CHRU Hôpital de Tours Gatien Clocheville (França)</t>
  </si>
  <si>
    <t>CHU Carémeau (Nîmes, França)</t>
  </si>
  <si>
    <t>CHU Toulouse Purpan (França)</t>
  </si>
  <si>
    <t>Clinique de l'Union (Saint-Jean, França)</t>
  </si>
  <si>
    <t>Clinique de Cèdres - Capio (Cornebarriue, França)</t>
  </si>
  <si>
    <t>Clinique de Porvence-Bourbonne (Aubagne, França)</t>
  </si>
  <si>
    <t>Clinique de Saint Orens (Saint-Orens-de-Gameville, França)</t>
  </si>
  <si>
    <t>Clinique du Millenaire (Montpellier, França)</t>
  </si>
  <si>
    <t>Clinique Saint Martin (Saint-Martin de Vignogoul, França)</t>
  </si>
  <si>
    <t>Clinique Synergia Carpentras (França)</t>
  </si>
  <si>
    <t>CRF Mer-air-soleil (Collioure, França)</t>
  </si>
  <si>
    <t>Fondation Ildys - Perharidy (Rascoff, França)</t>
  </si>
  <si>
    <t>GH Gaillac (França)</t>
  </si>
  <si>
    <t>Hopital de la Conception (Marseille, França)</t>
  </si>
  <si>
    <t>Hòpital Nord-Ouest Trevoux (França)</t>
  </si>
  <si>
    <t>Hôpital Universitaire de Rééducation, Réadaptation et d’Addictologie du Grau-du-Roi  (França)</t>
  </si>
  <si>
    <t>Hôpitaux du bassin de Thau, Hospital Saint Clair (Sète, França)</t>
  </si>
  <si>
    <t>KORIAN CAP FERRIERES (Martigues, França)</t>
  </si>
  <si>
    <t>Lapeyronie, Chir Infantile (Montpellier, França)</t>
  </si>
  <si>
    <t>Montpellier Herault Sport Club (França)</t>
  </si>
  <si>
    <t>Santé et Rééducation Mozart (Niza, França)</t>
  </si>
  <si>
    <t>SAS CRF du Docteur Ster (Lamalou-les-Bains)</t>
  </si>
  <si>
    <t>SASP Stade Touousain (Rouffiac-Tolosan, França)</t>
  </si>
  <si>
    <t>SCM Harmony (Tolouse, França)</t>
  </si>
  <si>
    <t>SCP Kines Pasteur (Tolouse, França)</t>
  </si>
  <si>
    <t>Selarl Centre de Masso Kinesitherapie des Arenes (Nébian, França)</t>
  </si>
  <si>
    <t>SSR Val Rosay (Saint-Didier-au-Mont-d'Or, França)</t>
  </si>
  <si>
    <t>UGECAM (Saint-Didier-au-Mont-d'Or, França)</t>
  </si>
  <si>
    <t>Taula 32. Resultats enquesta PE_assignatura grau</t>
  </si>
  <si>
    <t>Taula 33. Resultats enquesta TFG_assignatura grau</t>
  </si>
  <si>
    <t>Taula 34. Satisfacció dels estudiants amb les assignatures. Curs 2019-2020</t>
  </si>
  <si>
    <t>Taula 35. Satisfacció dels estudiants amb l’actuació docent. Curs 2019-2020</t>
  </si>
  <si>
    <t>Taula 36. Satisfacció dels graduats amb l'experiència educativa global</t>
  </si>
  <si>
    <t>Taula 37. Satisfacció del professorat de la titulació</t>
  </si>
  <si>
    <t>Taula 38. Rendiment acadèmic per assignatura</t>
  </si>
  <si>
    <t>Taula 39. Taxa d’èxit (crèdits superats/crèdits presentats) i Taxa de rendiment (crèdits superats/crèdits matriculats).</t>
  </si>
  <si>
    <t xml:space="preserve">Taula 40. Indicadors de resultats acadèmics </t>
  </si>
  <si>
    <t>Taula 41. Inserció laboral</t>
  </si>
  <si>
    <t>Promoció</t>
  </si>
  <si>
    <t>Estudiants matriculats Doble Titulació</t>
  </si>
  <si>
    <t>Estudiants titulats</t>
  </si>
  <si>
    <t>Dona</t>
  </si>
  <si>
    <t>Home</t>
  </si>
  <si>
    <t>Fisioteràpia</t>
  </si>
  <si>
    <t>60/10=6</t>
  </si>
  <si>
    <t>60/11=5,45</t>
  </si>
  <si>
    <t>60/23=2,61</t>
  </si>
  <si>
    <t>60/43=1,40</t>
  </si>
  <si>
    <t>60/34=1,76</t>
  </si>
  <si>
    <t>60/56=1,07</t>
  </si>
  <si>
    <t>60/50=1,2</t>
  </si>
  <si>
    <t>60/51=1,18</t>
  </si>
  <si>
    <t>Moodle 101. Introducció al Campus Virtual de la URV</t>
  </si>
  <si>
    <t>Gestió de la mobilitat amb el programa MoveOn (assignacions)</t>
  </si>
  <si>
    <t>Moodle 2. Curs avançat del Campus Virtual URV</t>
  </si>
  <si>
    <t>01TI0001-1</t>
  </si>
  <si>
    <t>01IT0007-1</t>
  </si>
  <si>
    <t>01TI0007-1</t>
  </si>
  <si>
    <t>Taula 21. Formació realitzada pel professorat del centre </t>
  </si>
  <si>
    <t>Accés al grau</t>
  </si>
  <si>
    <t>Nombre de places ofertes</t>
  </si>
  <si>
    <t xml:space="preserve">Notes de tall </t>
  </si>
  <si>
    <t xml:space="preserve">Correspondències entre cicles formatius de grau superior i estudis universitaris de grau a la URV </t>
  </si>
  <si>
    <t xml:space="preserve">Sortides professionals </t>
  </si>
  <si>
    <t>Sessions d’acollida</t>
  </si>
  <si>
    <t>PLA D’ESTUDIS</t>
  </si>
  <si>
    <t xml:space="preserve">Descripció del títol </t>
  </si>
  <si>
    <t>Pla d’estudis</t>
  </si>
  <si>
    <t>Mencions</t>
  </si>
  <si>
    <t xml:space="preserve">  Competències de l’assignatura</t>
  </si>
  <si>
    <t xml:space="preserve">  Planificació</t>
  </si>
  <si>
    <t xml:space="preserve">  Avaluació</t>
  </si>
  <si>
    <t xml:space="preserve">  Resultats d'aprenentatge</t>
  </si>
  <si>
    <t xml:space="preserve">  Metodologies</t>
  </si>
  <si>
    <t xml:space="preserve">  Fonts d'Informació</t>
  </si>
  <si>
    <t xml:space="preserve">  Continguts</t>
  </si>
  <si>
    <t xml:space="preserve">  Atenció personalitzada</t>
  </si>
  <si>
    <t xml:space="preserve">  Recomanacions</t>
  </si>
  <si>
    <t>Professorat de la titulació</t>
  </si>
  <si>
    <t>Informació de contacte</t>
  </si>
  <si>
    <t>Currículum del professorat</t>
  </si>
  <si>
    <t>Normativa Pràctiques Externes</t>
  </si>
  <si>
    <t>Pràctiques Obligatòries/Optatives</t>
  </si>
  <si>
    <t>Assignatures lligades a les Pràctiques</t>
  </si>
  <si>
    <t>Institucions on es poden realitzar les Pràctiques</t>
  </si>
  <si>
    <t>Programes de mobilitat</t>
  </si>
  <si>
    <t>Altres opcions per fer estades a l'estranger</t>
  </si>
  <si>
    <t>Beques</t>
  </si>
  <si>
    <t>Normativa mobilitat</t>
  </si>
  <si>
    <t>Institucions amb convenis signats</t>
  </si>
  <si>
    <t>Marc General</t>
  </si>
  <si>
    <t>Normativa</t>
  </si>
  <si>
    <t>Política de Qualitat de la Facultat/Escola</t>
  </si>
  <si>
    <t>Manual de Qualitat de la Facultat/Escola</t>
  </si>
  <si>
    <t>Autoinforme d’acreditació</t>
  </si>
  <si>
    <t xml:space="preserve">Informació general d’accés </t>
  </si>
  <si>
    <t>Enllaç a EUC Informes </t>
  </si>
  <si>
    <t>http://www.urv.cat/ca/estudis/graus/admissio/acces/          
 http://www.urv.cat/ca/estudis/graus/informacio-economica/
http://www.urv.cat/ca/estudis/graus/tramits/
https://tarragona.euses.cat/els-nostres-estudis/graus-universitaris/</t>
  </si>
  <si>
    <t>http://www.urv.cat/ca/estudis/graus/admissio/matricula/       
http://www.urv.cat/ca/estudis/graus/admissio/acollida/   
http://www.urv.cat/ca/estudis/graus/admissio/orientacio/
http://www.urv.cat/ca/estudis/graus/admissio/reconeixements/</t>
  </si>
  <si>
    <t>https://tarragona.euses.cat/professors-euses-tarragona/</t>
  </si>
  <si>
    <t>https://www.urv.cat/media/upload/arxius/normatives/propia/activitat_universitaria/docencia_estudi/Norm_pract_externes.pdf    
https://tarragona.euses.cat/wp-content/uploads/2020/04/6.-Reglament-intern-organitzador-de-les-Pr%C3%A0ctiques-Externes-web.pdf</t>
  </si>
  <si>
    <t>https://www.urv.cat/ca/universitat/normatives/normativa-mobilitat/</t>
  </si>
  <si>
    <t>https://www.urv.cat/ca/vida-campus/serveis/crai/que-us-oferim/treballfigrau/    
https://www.urv.cat/media/upload/arxius/normatives/propia/activitat_universitaria/docencia_estudi/2019-20_na_grau_master.pdf       
https://tarragona.euses.cat/wp-content/uploads/2020/04/5.-Reglament-intern-organitzador-de-Treball-Final-de-Grau-2019-def.pdf</t>
  </si>
  <si>
    <t>ENQUESTA URV DE SATISFACCIÓ DEL PROFESSORAT</t>
  </si>
  <si>
    <t>ENQUESTA DE SATISFACCIÓ DEL PROFESSORAT PRÒPIA D'EUSES TE</t>
  </si>
  <si>
    <t>ENQUESTA DE SATISFACCIÓ DELS TUTORS DEL PAT</t>
  </si>
  <si>
    <t>ENQUESTA DE SATISFACCIÓ DELS TITULATS RECENTS DE GRAU (AQU Catalunya)</t>
  </si>
  <si>
    <t>ENQUESTA D'INSERCIÓ LABORAL ALS GRADUATS I GRADUADES (AQU Catalunya)</t>
  </si>
  <si>
    <t>ENQUESTA DE TITULATS PRÒPIA D'EUSES TE</t>
  </si>
  <si>
    <t>SERVEIS, ACTIVITATS I INSTAL·LACIONS D'EUSES TE</t>
  </si>
  <si>
    <t>ENQUESTA DE SATISFACCIÓ DELS ESTUDIANTS AMB EL PAT</t>
  </si>
  <si>
    <t>Sr. Jaume Guerra</t>
  </si>
  <si>
    <t xml:space="preserve">Font: URV en xifres. ACRG18: Assignatures dels plans d’estudis de grau. </t>
  </si>
  <si>
    <t>En els plantejaments inicials de l'assignatura, especifica clarament els objectius, el programa i els criteris d'avaluació.</t>
  </si>
  <si>
    <t>Nre. PDI assistent</t>
  </si>
  <si>
    <t>Satisfacció amb l'adaptació</t>
  </si>
  <si>
    <t>No (73,71%)</t>
  </si>
  <si>
    <t>Sí (88,00%)</t>
  </si>
  <si>
    <t>Espais actius (%)</t>
  </si>
  <si>
    <t>Professors actius (%)</t>
  </si>
  <si>
    <t>Paricipació</t>
  </si>
  <si>
    <t>Pregunta                             (Molt en desacord 1…7 Molt en acord)</t>
  </si>
  <si>
    <t>El que es fa a l’assignatura m’ajuda a aprendre</t>
  </si>
  <si>
    <t>El volum de treball és coherent i proporcionat als crèdits de l'assignatura</t>
  </si>
  <si>
    <t>Resolt satisfactòriament els dubtes o preguntes que se li plantegen</t>
  </si>
  <si>
    <t xml:space="preserve">Grau en CAFE </t>
  </si>
  <si>
    <t>Pregunta  (Poc satisfet 1…7 Molt satisfet)</t>
  </si>
  <si>
    <t>Matriculats/des</t>
  </si>
  <si>
    <t>https://tarragona.euses.cat/estudis/grau-en-fisioterapia-tarragona/
https://tarragona.euses.cat/estudis/grau-ciencies-activitat-fisica-i-esport-cafe-tarragona/
https://tarragona.euses.cat/estudis/doble-titulacio-cafe-fisioterapia/</t>
  </si>
  <si>
    <t>Taula 30.1. Resultats enquesta satisfacció alumnes de nou accés (primer curs)</t>
  </si>
  <si>
    <t>Pregunta
(Molt en desacord 1…7 Molt en acord)</t>
  </si>
  <si>
    <t>Esports individuals: Esgrima</t>
  </si>
  <si>
    <t>https://tarragona.euses.cat/els-nostres-estudis/graus-universitaris/ 
 http://www.urv.cat/ca/vida-campus/serveis/crai/
https://tarragona.euses.cat/wp-content/uploads/2020/04/5.-Processos-de-qualitat-clau.pdf</t>
  </si>
  <si>
    <t>https://tarragona.euses.cat/qualitat/
https://estudis.aqu.cat/euc/ca/Titulacions/Fitxa?titulacioId=10278
https://estudis.aqu.cat/euc/ca/Titulacions/Fitxa?titulacioId=10293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</si>
</sst>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sz val="10"/>
      <color indexed="8"/>
      <name val="Arial"/>
      <family val="2"/>
    </font>
    <font>
      <b/>
      <sz val="10"/>
      <color rgb="FF000000"/>
      <name val="Verdana"/>
      <family val="2"/>
    </font>
    <font>
      <b/>
      <sz val="8"/>
      <color rgb="FFFFFFFF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rgb="FFFF0000"/>
      <name val="Verdana"/>
      <family val="2"/>
    </font>
    <font>
      <b/>
      <sz val="10"/>
      <color indexed="8"/>
      <name val="Arial"/>
      <family val="2"/>
    </font>
    <font>
      <sz val="8"/>
      <color rgb="FF000000"/>
      <name val="Calibri"/>
      <family val="2"/>
      <scheme val="minor"/>
    </font>
    <font>
      <b/>
      <sz val="8"/>
      <color indexed="8"/>
      <name val="Verdana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Verdana"/>
      <family val="2"/>
    </font>
    <font>
      <sz val="8"/>
      <name val="Verdana"/>
      <family val="2"/>
    </font>
    <font>
      <sz val="8"/>
      <color rgb="FFFF0000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i/>
      <sz val="7"/>
      <color rgb="FF000000"/>
      <name val="Verdana"/>
      <family val="2"/>
    </font>
    <font>
      <sz val="10.5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Verdana"/>
      <family val="2"/>
    </font>
    <font>
      <sz val="8"/>
      <name val="Calibri"/>
      <family val="2"/>
      <scheme val="minor"/>
    </font>
    <font>
      <b/>
      <sz val="8"/>
      <color theme="0"/>
      <name val="Verdana"/>
      <family val="2"/>
    </font>
    <font>
      <sz val="10"/>
      <name val="Arial"/>
      <family val="2"/>
    </font>
    <font>
      <u/>
      <sz val="8"/>
      <color rgb="FF000000"/>
      <name val="Tahoma"/>
      <family val="2"/>
    </font>
    <font>
      <sz val="8"/>
      <name val="Calibri"/>
      <family val="2"/>
    </font>
    <font>
      <b/>
      <sz val="10"/>
      <color rgb="FFFF0000"/>
      <name val="Verdana"/>
      <family val="2"/>
    </font>
    <font>
      <sz val="8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8"/>
      <color indexed="8"/>
      <name val="Verdana"/>
      <family val="2"/>
    </font>
    <font>
      <b/>
      <sz val="10"/>
      <color theme="1"/>
      <name val="Arial"/>
      <family val="2"/>
    </font>
    <font>
      <sz val="8"/>
      <color rgb="FFF8F8F8"/>
      <name val="Verdana"/>
      <family val="2"/>
    </font>
    <font>
      <sz val="8"/>
      <color rgb="FF343E47"/>
      <name val="Verdana"/>
      <family val="2"/>
    </font>
    <font>
      <i/>
      <sz val="8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u/>
      <sz val="8"/>
      <color theme="10"/>
      <name val="Verdana"/>
      <family val="2"/>
    </font>
    <font>
      <b/>
      <sz val="11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0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rgb="FFA6A6A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A6A6A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 style="thin">
        <color auto="1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indexed="64"/>
      </left>
      <right/>
      <top/>
      <bottom style="medium">
        <color theme="0" tint="-0.34998626667073579"/>
      </bottom>
      <diagonal/>
    </border>
    <border>
      <left/>
      <right style="thin">
        <color indexed="64"/>
      </right>
      <top/>
      <bottom style="medium">
        <color theme="0" tint="-0.34998626667073579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 style="medium">
        <color theme="0" tint="-0.34998626667073579"/>
      </top>
      <bottom style="medium">
        <color auto="1"/>
      </bottom>
      <diagonal/>
    </border>
    <border>
      <left/>
      <right/>
      <top style="medium">
        <color rgb="FFA6A6A6"/>
      </top>
      <bottom style="medium">
        <color auto="1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 style="medium">
        <color indexed="64"/>
      </bottom>
      <diagonal/>
    </border>
    <border>
      <left style="medium">
        <color theme="0" tint="-0.34998626667073579"/>
      </left>
      <right/>
      <top/>
      <bottom style="medium">
        <color indexed="64"/>
      </bottom>
      <diagonal/>
    </border>
    <border>
      <left/>
      <right style="medium">
        <color theme="0" tint="-0.34998626667073579"/>
      </right>
      <top/>
      <bottom style="thin">
        <color indexed="64"/>
      </bottom>
      <diagonal/>
    </border>
    <border>
      <left style="medium">
        <color theme="0" tint="-0.34998626667073579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theme="0" tint="-0.34998626667073579"/>
      </top>
      <bottom/>
      <diagonal/>
    </border>
    <border>
      <left/>
      <right style="thin">
        <color auto="1"/>
      </right>
      <top style="medium">
        <color theme="0" tint="-0.34998626667073579"/>
      </top>
      <bottom/>
      <diagonal/>
    </border>
    <border>
      <left/>
      <right/>
      <top style="medium">
        <color rgb="FFA6A6A6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indexed="64"/>
      </bottom>
      <diagonal/>
    </border>
    <border>
      <left/>
      <right/>
      <top style="medium">
        <color auto="1"/>
      </top>
      <bottom style="medium">
        <color theme="0" tint="-0.34998626667073579"/>
      </bottom>
      <diagonal/>
    </border>
    <border>
      <left/>
      <right style="thin">
        <color indexed="64"/>
      </right>
      <top style="thin">
        <color auto="1"/>
      </top>
      <bottom style="medium">
        <color theme="0" tint="-0.34998626667073579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4" fillId="11" borderId="0" applyNumberFormat="0" applyBorder="0" applyAlignment="0" applyProtection="0"/>
    <xf numFmtId="0" fontId="17" fillId="0" borderId="0" applyNumberFormat="0" applyFill="0" applyBorder="0" applyAlignment="0" applyProtection="0"/>
    <xf numFmtId="0" fontId="35" fillId="0" borderId="0"/>
    <xf numFmtId="0" fontId="5" fillId="0" borderId="0"/>
    <xf numFmtId="0" fontId="5" fillId="0" borderId="0"/>
    <xf numFmtId="0" fontId="5" fillId="0" borderId="0"/>
  </cellStyleXfs>
  <cellXfs count="101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10" fontId="0" fillId="0" borderId="0" xfId="0" applyNumberFormat="1"/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2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14" fontId="12" fillId="0" borderId="0" xfId="0" applyNumberFormat="1" applyFont="1" applyAlignment="1">
      <alignment horizontal="left" wrapText="1"/>
    </xf>
    <xf numFmtId="0" fontId="0" fillId="0" borderId="0" xfId="0" applyAlignment="1">
      <alignment horizontal="center"/>
    </xf>
    <xf numFmtId="164" fontId="10" fillId="0" borderId="0" xfId="2" applyNumberFormat="1" applyFont="1"/>
    <xf numFmtId="0" fontId="6" fillId="0" borderId="0" xfId="0" applyFont="1" applyAlignment="1">
      <alignment horizontal="left" vertical="center"/>
    </xf>
    <xf numFmtId="10" fontId="0" fillId="0" borderId="0" xfId="1" applyNumberFormat="1" applyFont="1"/>
    <xf numFmtId="0" fontId="9" fillId="0" borderId="0" xfId="0" applyFont="1" applyBorder="1" applyAlignment="1">
      <alignment vertical="center"/>
    </xf>
    <xf numFmtId="10" fontId="9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2"/>
    <xf numFmtId="0" fontId="9" fillId="0" borderId="0" xfId="2" applyFont="1" applyBorder="1" applyAlignment="1">
      <alignment vertical="center"/>
    </xf>
    <xf numFmtId="10" fontId="9" fillId="0" borderId="0" xfId="2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9" fontId="9" fillId="0" borderId="0" xfId="0" applyNumberFormat="1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4" fillId="0" borderId="0" xfId="2" applyFont="1"/>
    <xf numFmtId="0" fontId="8" fillId="0" borderId="9" xfId="2" applyFont="1" applyBorder="1" applyAlignment="1">
      <alignment horizontal="center" vertical="center"/>
    </xf>
    <xf numFmtId="0" fontId="18" fillId="0" borderId="0" xfId="0" applyFont="1"/>
    <xf numFmtId="0" fontId="2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28" fillId="0" borderId="0" xfId="0" applyFont="1"/>
    <xf numFmtId="0" fontId="2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15" fillId="0" borderId="0" xfId="0" applyFont="1"/>
    <xf numFmtId="0" fontId="21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6" fillId="0" borderId="0" xfId="0" applyFont="1"/>
    <xf numFmtId="9" fontId="21" fillId="0" borderId="0" xfId="0" applyNumberFormat="1" applyFont="1" applyAlignment="1">
      <alignment horizontal="justify" vertical="center"/>
    </xf>
    <xf numFmtId="164" fontId="21" fillId="0" borderId="0" xfId="0" applyNumberFormat="1" applyFont="1" applyAlignment="1">
      <alignment horizontal="justify" vertical="center"/>
    </xf>
    <xf numFmtId="0" fontId="38" fillId="0" borderId="0" xfId="0" applyFont="1" applyAlignment="1">
      <alignment vertical="center"/>
    </xf>
    <xf numFmtId="0" fontId="0" fillId="0" borderId="0" xfId="0" applyAlignment="1">
      <alignment vertical="center"/>
    </xf>
    <xf numFmtId="1" fontId="41" fillId="0" borderId="0" xfId="0" applyNumberFormat="1" applyFont="1" applyProtection="1">
      <protection locked="0"/>
    </xf>
    <xf numFmtId="49" fontId="41" fillId="0" borderId="0" xfId="0" applyNumberFormat="1" applyFont="1" applyProtection="1">
      <protection locked="0"/>
    </xf>
    <xf numFmtId="0" fontId="42" fillId="0" borderId="0" xfId="6" applyFont="1" applyAlignment="1">
      <alignment horizontal="left" wrapText="1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2" fontId="41" fillId="0" borderId="0" xfId="0" applyNumberFormat="1" applyFont="1" applyProtection="1">
      <protection locked="0"/>
    </xf>
    <xf numFmtId="0" fontId="2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ill="1"/>
    <xf numFmtId="0" fontId="22" fillId="0" borderId="0" xfId="0" applyFont="1" applyFill="1"/>
    <xf numFmtId="10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10" fontId="22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26" fillId="0" borderId="0" xfId="0" applyFont="1" applyFill="1" applyBorder="1" applyAlignment="1">
      <alignment vertical="center" wrapText="1"/>
    </xf>
    <xf numFmtId="0" fontId="40" fillId="0" borderId="0" xfId="0" applyFont="1" applyFill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44" fillId="0" borderId="0" xfId="0" applyFont="1" applyBorder="1" applyAlignment="1">
      <alignment horizontal="center"/>
    </xf>
    <xf numFmtId="2" fontId="0" fillId="0" borderId="0" xfId="0" applyNumberFormat="1" applyFill="1"/>
    <xf numFmtId="0" fontId="0" fillId="0" borderId="0" xfId="0"/>
    <xf numFmtId="0" fontId="4" fillId="0" borderId="0" xfId="0" applyFont="1" applyFill="1"/>
    <xf numFmtId="0" fontId="29" fillId="0" borderId="0" xfId="0" applyFont="1" applyFill="1" applyAlignment="1">
      <alignment vertical="center"/>
    </xf>
    <xf numFmtId="0" fontId="4" fillId="0" borderId="0" xfId="0" applyFont="1" applyAlignme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7" fillId="15" borderId="1" xfId="0" applyFont="1" applyFill="1" applyBorder="1" applyAlignment="1">
      <alignment vertical="center" wrapText="1"/>
    </xf>
    <xf numFmtId="10" fontId="0" fillId="0" borderId="0" xfId="0" applyNumberFormat="1" applyFill="1"/>
    <xf numFmtId="9" fontId="0" fillId="0" borderId="0" xfId="0" applyNumberFormat="1" applyFill="1"/>
    <xf numFmtId="0" fontId="29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45" fillId="0" borderId="0" xfId="0" applyFont="1"/>
    <xf numFmtId="0" fontId="6" fillId="0" borderId="0" xfId="0" applyFont="1" applyFill="1" applyAlignment="1">
      <alignment horizontal="left" vertical="center"/>
    </xf>
    <xf numFmtId="0" fontId="2" fillId="0" borderId="0" xfId="2" applyFont="1"/>
    <xf numFmtId="0" fontId="5" fillId="0" borderId="1" xfId="2" applyBorder="1"/>
    <xf numFmtId="0" fontId="46" fillId="0" borderId="0" xfId="7" applyFont="1" applyAlignment="1">
      <alignment horizontal="left" wrapText="1"/>
    </xf>
    <xf numFmtId="0" fontId="5" fillId="0" borderId="0" xfId="2" applyAlignment="1">
      <alignment vertical="center"/>
    </xf>
    <xf numFmtId="0" fontId="26" fillId="0" borderId="34" xfId="2" applyFont="1" applyBorder="1"/>
    <xf numFmtId="0" fontId="26" fillId="0" borderId="20" xfId="2" applyFont="1" applyBorder="1"/>
    <xf numFmtId="0" fontId="26" fillId="0" borderId="17" xfId="2" applyFont="1" applyBorder="1"/>
    <xf numFmtId="0" fontId="26" fillId="20" borderId="17" xfId="2" applyFont="1" applyFill="1" applyBorder="1" applyAlignment="1">
      <alignment horizontal="center" vertical="center" wrapText="1"/>
    </xf>
    <xf numFmtId="0" fontId="13" fillId="0" borderId="23" xfId="8" applyFont="1" applyBorder="1" applyAlignment="1">
      <alignment vertical="center" wrapText="1"/>
    </xf>
    <xf numFmtId="0" fontId="4" fillId="0" borderId="23" xfId="8" applyFont="1" applyBorder="1" applyAlignment="1">
      <alignment horizontal="center" wrapText="1"/>
    </xf>
    <xf numFmtId="0" fontId="4" fillId="0" borderId="35" xfId="7" applyFont="1" applyBorder="1" applyAlignment="1">
      <alignment wrapText="1"/>
    </xf>
    <xf numFmtId="0" fontId="4" fillId="0" borderId="22" xfId="2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22" xfId="8" applyFont="1" applyBorder="1" applyAlignment="1">
      <alignment wrapText="1"/>
    </xf>
    <xf numFmtId="0" fontId="4" fillId="0" borderId="23" xfId="7" applyFont="1" applyBorder="1" applyAlignment="1">
      <alignment wrapText="1"/>
    </xf>
    <xf numFmtId="0" fontId="4" fillId="0" borderId="23" xfId="7" applyFont="1" applyBorder="1" applyAlignment="1">
      <alignment horizontal="center" wrapText="1"/>
    </xf>
    <xf numFmtId="0" fontId="4" fillId="0" borderId="23" xfId="9" applyFont="1" applyBorder="1" applyAlignment="1">
      <alignment horizontal="center" wrapText="1"/>
    </xf>
    <xf numFmtId="0" fontId="4" fillId="0" borderId="24" xfId="9" applyFont="1" applyBorder="1" applyAlignment="1">
      <alignment horizontal="center" wrapText="1"/>
    </xf>
    <xf numFmtId="0" fontId="4" fillId="0" borderId="22" xfId="9" applyFont="1" applyBorder="1" applyAlignment="1">
      <alignment horizontal="center" wrapText="1"/>
    </xf>
    <xf numFmtId="0" fontId="4" fillId="0" borderId="35" xfId="9" applyFont="1" applyBorder="1" applyAlignment="1">
      <alignment horizontal="center" wrapText="1"/>
    </xf>
    <xf numFmtId="0" fontId="13" fillId="0" borderId="1" xfId="8" applyFont="1" applyBorder="1" applyAlignment="1">
      <alignment vertical="center" wrapText="1"/>
    </xf>
    <xf numFmtId="0" fontId="4" fillId="0" borderId="1" xfId="8" applyFont="1" applyBorder="1" applyAlignment="1">
      <alignment horizontal="center" wrapText="1"/>
    </xf>
    <xf numFmtId="0" fontId="4" fillId="0" borderId="5" xfId="7" applyFont="1" applyBorder="1" applyAlignment="1">
      <alignment wrapText="1"/>
    </xf>
    <xf numFmtId="0" fontId="4" fillId="0" borderId="25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0" fontId="4" fillId="0" borderId="25" xfId="8" applyFont="1" applyBorder="1" applyAlignment="1">
      <alignment wrapText="1"/>
    </xf>
    <xf numFmtId="0" fontId="4" fillId="0" borderId="1" xfId="7" applyFont="1" applyBorder="1" applyAlignment="1">
      <alignment wrapText="1"/>
    </xf>
    <xf numFmtId="0" fontId="4" fillId="0" borderId="1" xfId="7" applyFont="1" applyBorder="1" applyAlignment="1">
      <alignment horizontal="center" wrapText="1"/>
    </xf>
    <xf numFmtId="0" fontId="4" fillId="0" borderId="1" xfId="9" applyFont="1" applyBorder="1" applyAlignment="1">
      <alignment horizontal="center" wrapText="1"/>
    </xf>
    <xf numFmtId="0" fontId="4" fillId="0" borderId="26" xfId="9" applyFont="1" applyBorder="1" applyAlignment="1">
      <alignment horizontal="center" wrapText="1"/>
    </xf>
    <xf numFmtId="0" fontId="4" fillId="0" borderId="25" xfId="9" applyFont="1" applyBorder="1" applyAlignment="1">
      <alignment horizontal="center" wrapText="1"/>
    </xf>
    <xf numFmtId="0" fontId="4" fillId="0" borderId="5" xfId="9" applyFont="1" applyBorder="1" applyAlignment="1">
      <alignment horizontal="center" wrapText="1"/>
    </xf>
    <xf numFmtId="0" fontId="13" fillId="0" borderId="28" xfId="8" applyFont="1" applyBorder="1" applyAlignment="1">
      <alignment vertical="center" wrapText="1"/>
    </xf>
    <xf numFmtId="0" fontId="4" fillId="0" borderId="28" xfId="8" applyFont="1" applyBorder="1" applyAlignment="1">
      <alignment horizontal="center" wrapText="1"/>
    </xf>
    <xf numFmtId="0" fontId="4" fillId="0" borderId="37" xfId="7" applyFont="1" applyBorder="1" applyAlignment="1">
      <alignment wrapText="1"/>
    </xf>
    <xf numFmtId="0" fontId="4" fillId="0" borderId="27" xfId="2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4" fillId="0" borderId="27" xfId="8" applyFont="1" applyBorder="1" applyAlignment="1">
      <alignment wrapText="1"/>
    </xf>
    <xf numFmtId="0" fontId="4" fillId="0" borderId="28" xfId="7" applyFont="1" applyBorder="1" applyAlignment="1">
      <alignment wrapText="1"/>
    </xf>
    <xf numFmtId="0" fontId="4" fillId="0" borderId="28" xfId="7" applyFont="1" applyBorder="1" applyAlignment="1">
      <alignment horizontal="center" wrapText="1"/>
    </xf>
    <xf numFmtId="0" fontId="4" fillId="0" borderId="28" xfId="9" applyFont="1" applyBorder="1" applyAlignment="1">
      <alignment horizontal="center" wrapText="1"/>
    </xf>
    <xf numFmtId="0" fontId="4" fillId="0" borderId="29" xfId="9" applyFont="1" applyBorder="1" applyAlignment="1">
      <alignment horizontal="center" wrapText="1"/>
    </xf>
    <xf numFmtId="0" fontId="4" fillId="0" borderId="27" xfId="9" applyFont="1" applyBorder="1" applyAlignment="1">
      <alignment horizontal="center" wrapText="1"/>
    </xf>
    <xf numFmtId="0" fontId="4" fillId="0" borderId="37" xfId="9" applyFont="1" applyBorder="1" applyAlignment="1">
      <alignment horizontal="center" wrapText="1"/>
    </xf>
    <xf numFmtId="0" fontId="47" fillId="0" borderId="0" xfId="7" applyFont="1" applyAlignment="1">
      <alignment horizontal="left" wrapText="1"/>
    </xf>
    <xf numFmtId="0" fontId="13" fillId="0" borderId="1" xfId="8" applyFont="1" applyBorder="1" applyAlignment="1">
      <alignment horizontal="left" vertical="center" wrapText="1"/>
    </xf>
    <xf numFmtId="0" fontId="4" fillId="0" borderId="35" xfId="8" applyFont="1" applyBorder="1" applyAlignment="1">
      <alignment horizontal="center" wrapText="1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5" xfId="8" applyFont="1" applyBorder="1" applyAlignment="1">
      <alignment horizontal="center" wrapText="1"/>
    </xf>
    <xf numFmtId="0" fontId="4" fillId="0" borderId="2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13" fillId="0" borderId="28" xfId="8" applyFont="1" applyBorder="1" applyAlignment="1">
      <alignment horizontal="left" vertical="center" wrapText="1"/>
    </xf>
    <xf numFmtId="0" fontId="4" fillId="0" borderId="37" xfId="8" applyFont="1" applyBorder="1" applyAlignment="1">
      <alignment horizontal="center" wrapText="1"/>
    </xf>
    <xf numFmtId="0" fontId="4" fillId="0" borderId="27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0" xfId="8" applyFont="1" applyAlignment="1">
      <alignment wrapText="1"/>
    </xf>
    <xf numFmtId="0" fontId="13" fillId="0" borderId="0" xfId="8" applyFont="1" applyAlignment="1">
      <alignment wrapText="1"/>
    </xf>
    <xf numFmtId="0" fontId="4" fillId="0" borderId="0" xfId="8" applyFont="1" applyAlignment="1">
      <alignment horizontal="center" wrapText="1"/>
    </xf>
    <xf numFmtId="0" fontId="4" fillId="0" borderId="22" xfId="8" applyFont="1" applyBorder="1" applyAlignment="1">
      <alignment horizontal="left" wrapText="1"/>
    </xf>
    <xf numFmtId="0" fontId="4" fillId="0" borderId="35" xfId="8" applyFont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4" fillId="0" borderId="23" xfId="8" applyFont="1" applyBorder="1" applyAlignment="1">
      <alignment horizontal="center" vertical="center" wrapText="1"/>
    </xf>
    <xf numFmtId="0" fontId="4" fillId="0" borderId="23" xfId="9" applyFont="1" applyBorder="1" applyAlignment="1">
      <alignment horizontal="center" vertical="center" wrapText="1"/>
    </xf>
    <xf numFmtId="0" fontId="4" fillId="0" borderId="24" xfId="9" applyFont="1" applyBorder="1" applyAlignment="1">
      <alignment horizontal="center" vertical="center" wrapText="1"/>
    </xf>
    <xf numFmtId="0" fontId="4" fillId="0" borderId="25" xfId="8" applyFont="1" applyBorder="1" applyAlignment="1">
      <alignment horizontal="left" wrapText="1"/>
    </xf>
    <xf numFmtId="0" fontId="4" fillId="0" borderId="5" xfId="8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4" fillId="0" borderId="26" xfId="9" applyFont="1" applyBorder="1" applyAlignment="1">
      <alignment horizontal="center" vertical="center" wrapText="1"/>
    </xf>
    <xf numFmtId="0" fontId="4" fillId="0" borderId="3" xfId="8" applyFont="1" applyBorder="1" applyAlignment="1">
      <alignment horizontal="center" wrapText="1"/>
    </xf>
    <xf numFmtId="0" fontId="4" fillId="0" borderId="27" xfId="8" applyFont="1" applyBorder="1" applyAlignment="1">
      <alignment horizontal="left" wrapText="1"/>
    </xf>
    <xf numFmtId="0" fontId="4" fillId="0" borderId="37" xfId="8" applyFont="1" applyBorder="1" applyAlignment="1">
      <alignment horizontal="center" vertical="center" wrapText="1"/>
    </xf>
    <xf numFmtId="0" fontId="4" fillId="0" borderId="28" xfId="8" applyFont="1" applyBorder="1" applyAlignment="1">
      <alignment horizontal="center" vertical="center" wrapText="1"/>
    </xf>
    <xf numFmtId="0" fontId="4" fillId="0" borderId="28" xfId="9" applyFont="1" applyBorder="1" applyAlignment="1">
      <alignment horizontal="center" vertical="center" wrapText="1"/>
    </xf>
    <xf numFmtId="0" fontId="4" fillId="0" borderId="0" xfId="8" applyFont="1" applyAlignment="1">
      <alignment horizontal="left" wrapText="1"/>
    </xf>
    <xf numFmtId="0" fontId="13" fillId="0" borderId="0" xfId="8" applyFont="1" applyAlignment="1">
      <alignment vertical="center" wrapText="1"/>
    </xf>
    <xf numFmtId="0" fontId="4" fillId="0" borderId="0" xfId="8" applyFont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4" fillId="0" borderId="0" xfId="9" applyFont="1" applyAlignment="1">
      <alignment horizontal="center" vertical="center" wrapText="1"/>
    </xf>
    <xf numFmtId="0" fontId="5" fillId="0" borderId="0" xfId="2" applyAlignment="1">
      <alignment wrapText="1"/>
    </xf>
    <xf numFmtId="0" fontId="4" fillId="0" borderId="0" xfId="2" applyFont="1" applyAlignment="1">
      <alignment wrapText="1"/>
    </xf>
    <xf numFmtId="0" fontId="5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13" fillId="24" borderId="19" xfId="7" applyFont="1" applyFill="1" applyBorder="1" applyAlignment="1">
      <alignment horizontal="center" vertical="center" wrapText="1"/>
    </xf>
    <xf numFmtId="0" fontId="13" fillId="24" borderId="17" xfId="7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/>
    </xf>
    <xf numFmtId="0" fontId="5" fillId="0" borderId="0" xfId="2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1" fontId="4" fillId="0" borderId="22" xfId="8" applyNumberFormat="1" applyFont="1" applyBorder="1" applyAlignment="1">
      <alignment horizontal="left" vertical="center"/>
    </xf>
    <xf numFmtId="1" fontId="4" fillId="0" borderId="25" xfId="8" applyNumberFormat="1" applyFont="1" applyBorder="1" applyAlignment="1">
      <alignment horizontal="left" vertical="center"/>
    </xf>
    <xf numFmtId="1" fontId="4" fillId="0" borderId="27" xfId="8" applyNumberFormat="1" applyFont="1" applyBorder="1" applyAlignment="1">
      <alignment horizontal="left" vertical="center"/>
    </xf>
    <xf numFmtId="0" fontId="47" fillId="0" borderId="0" xfId="7" applyFont="1" applyAlignment="1">
      <alignment horizontal="left" vertical="center"/>
    </xf>
    <xf numFmtId="0" fontId="4" fillId="0" borderId="25" xfId="8" applyFont="1" applyBorder="1" applyAlignment="1">
      <alignment horizontal="left" vertical="center"/>
    </xf>
    <xf numFmtId="0" fontId="4" fillId="0" borderId="27" xfId="8" applyFont="1" applyBorder="1" applyAlignment="1">
      <alignment horizontal="left" vertical="center"/>
    </xf>
    <xf numFmtId="0" fontId="4" fillId="0" borderId="0" xfId="8" applyFont="1" applyAlignment="1">
      <alignment horizontal="left" vertical="center"/>
    </xf>
    <xf numFmtId="0" fontId="4" fillId="0" borderId="22" xfId="8" applyFont="1" applyBorder="1" applyAlignment="1">
      <alignment horizontal="left" vertical="center"/>
    </xf>
    <xf numFmtId="0" fontId="13" fillId="24" borderId="19" xfId="7" applyFont="1" applyFill="1" applyBorder="1" applyAlignment="1">
      <alignment horizontal="center" vertical="center"/>
    </xf>
    <xf numFmtId="0" fontId="26" fillId="0" borderId="34" xfId="2" applyFont="1" applyBorder="1" applyAlignment="1">
      <alignment wrapText="1"/>
    </xf>
    <xf numFmtId="0" fontId="26" fillId="0" borderId="17" xfId="2" applyFont="1" applyBorder="1" applyAlignment="1">
      <alignment wrapText="1"/>
    </xf>
    <xf numFmtId="0" fontId="4" fillId="0" borderId="36" xfId="2" applyFont="1" applyBorder="1" applyAlignment="1">
      <alignment wrapText="1"/>
    </xf>
    <xf numFmtId="0" fontId="4" fillId="0" borderId="23" xfId="2" applyFont="1" applyBorder="1" applyAlignment="1">
      <alignment wrapText="1"/>
    </xf>
    <xf numFmtId="0" fontId="4" fillId="0" borderId="35" xfId="2" applyFont="1" applyBorder="1" applyAlignment="1">
      <alignment wrapText="1"/>
    </xf>
    <xf numFmtId="0" fontId="4" fillId="0" borderId="22" xfId="2" applyFont="1" applyBorder="1" applyAlignment="1">
      <alignment wrapText="1"/>
    </xf>
    <xf numFmtId="0" fontId="4" fillId="0" borderId="24" xfId="2" applyFont="1" applyBorder="1" applyAlignment="1">
      <alignment wrapText="1"/>
    </xf>
    <xf numFmtId="0" fontId="4" fillId="0" borderId="6" xfId="2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4" fillId="0" borderId="5" xfId="2" applyFont="1" applyBorder="1" applyAlignment="1">
      <alignment wrapText="1"/>
    </xf>
    <xf numFmtId="0" fontId="4" fillId="0" borderId="25" xfId="2" applyFont="1" applyBorder="1" applyAlignment="1">
      <alignment wrapText="1"/>
    </xf>
    <xf numFmtId="0" fontId="4" fillId="0" borderId="26" xfId="2" applyFont="1" applyBorder="1" applyAlignment="1">
      <alignment wrapText="1"/>
    </xf>
    <xf numFmtId="0" fontId="4" fillId="0" borderId="38" xfId="2" applyFont="1" applyBorder="1" applyAlignment="1">
      <alignment wrapText="1"/>
    </xf>
    <xf numFmtId="0" fontId="4" fillId="0" borderId="28" xfId="2" applyFont="1" applyBorder="1" applyAlignment="1">
      <alignment wrapText="1"/>
    </xf>
    <xf numFmtId="0" fontId="4" fillId="0" borderId="37" xfId="2" applyFont="1" applyBorder="1" applyAlignment="1">
      <alignment wrapText="1"/>
    </xf>
    <xf numFmtId="0" fontId="4" fillId="0" borderId="27" xfId="2" applyFont="1" applyBorder="1" applyAlignment="1">
      <alignment wrapText="1"/>
    </xf>
    <xf numFmtId="0" fontId="4" fillId="0" borderId="29" xfId="2" applyFont="1" applyBorder="1" applyAlignment="1">
      <alignment wrapText="1"/>
    </xf>
    <xf numFmtId="0" fontId="26" fillId="0" borderId="18" xfId="2" applyFont="1" applyBorder="1" applyAlignment="1">
      <alignment wrapText="1"/>
    </xf>
    <xf numFmtId="10" fontId="26" fillId="0" borderId="19" xfId="2" applyNumberFormat="1" applyFont="1" applyBorder="1" applyAlignment="1">
      <alignment wrapText="1"/>
    </xf>
    <xf numFmtId="0" fontId="26" fillId="0" borderId="19" xfId="2" applyFont="1" applyBorder="1" applyAlignment="1">
      <alignment wrapText="1"/>
    </xf>
    <xf numFmtId="0" fontId="4" fillId="0" borderId="22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4" fillId="0" borderId="32" xfId="2" applyFont="1" applyBorder="1" applyAlignment="1">
      <alignment wrapText="1"/>
    </xf>
    <xf numFmtId="0" fontId="4" fillId="0" borderId="3" xfId="2" applyFont="1" applyBorder="1" applyAlignment="1">
      <alignment wrapText="1"/>
    </xf>
    <xf numFmtId="0" fontId="4" fillId="0" borderId="33" xfId="2" applyFont="1" applyBorder="1" applyAlignment="1">
      <alignment wrapText="1"/>
    </xf>
    <xf numFmtId="0" fontId="4" fillId="0" borderId="41" xfId="2" applyFont="1" applyBorder="1" applyAlignment="1">
      <alignment wrapText="1"/>
    </xf>
    <xf numFmtId="0" fontId="4" fillId="0" borderId="28" xfId="2" applyFont="1" applyBorder="1" applyAlignment="1">
      <alignment horizontal="center" wrapText="1"/>
    </xf>
    <xf numFmtId="0" fontId="4" fillId="0" borderId="29" xfId="2" applyFont="1" applyBorder="1" applyAlignment="1">
      <alignment horizontal="center" wrapText="1"/>
    </xf>
    <xf numFmtId="0" fontId="4" fillId="0" borderId="27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22" xfId="2" applyFont="1" applyBorder="1" applyAlignment="1">
      <alignment vertical="center" wrapText="1"/>
    </xf>
    <xf numFmtId="0" fontId="4" fillId="0" borderId="23" xfId="2" applyFont="1" applyBorder="1" applyAlignment="1">
      <alignment vertical="center" wrapText="1"/>
    </xf>
    <xf numFmtId="0" fontId="4" fillId="0" borderId="24" xfId="2" applyFont="1" applyBorder="1" applyAlignment="1">
      <alignment vertical="center" wrapText="1"/>
    </xf>
    <xf numFmtId="0" fontId="4" fillId="0" borderId="35" xfId="2" applyFont="1" applyBorder="1" applyAlignment="1">
      <alignment vertical="center" wrapText="1"/>
    </xf>
    <xf numFmtId="0" fontId="4" fillId="0" borderId="25" xfId="2" applyFont="1" applyBorder="1" applyAlignment="1">
      <alignment vertical="center" wrapText="1"/>
    </xf>
    <xf numFmtId="0" fontId="4" fillId="0" borderId="26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41" xfId="2" applyFont="1" applyBorder="1" applyAlignment="1">
      <alignment vertical="center" wrapText="1"/>
    </xf>
    <xf numFmtId="0" fontId="4" fillId="0" borderId="3" xfId="2" applyFont="1" applyBorder="1" applyAlignment="1">
      <alignment vertical="center" wrapText="1"/>
    </xf>
    <xf numFmtId="0" fontId="4" fillId="0" borderId="42" xfId="2" applyFont="1" applyBorder="1" applyAlignment="1">
      <alignment vertical="center" wrapText="1"/>
    </xf>
    <xf numFmtId="0" fontId="4" fillId="0" borderId="33" xfId="2" applyFont="1" applyBorder="1" applyAlignment="1">
      <alignment vertical="center" wrapText="1"/>
    </xf>
    <xf numFmtId="0" fontId="4" fillId="0" borderId="1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2" xfId="2" applyFont="1" applyBorder="1" applyAlignment="1">
      <alignment horizontal="center" vertical="center" wrapText="1"/>
    </xf>
    <xf numFmtId="0" fontId="4" fillId="0" borderId="27" xfId="2" applyFont="1" applyBorder="1" applyAlignment="1">
      <alignment vertical="center" wrapText="1"/>
    </xf>
    <xf numFmtId="0" fontId="4" fillId="0" borderId="28" xfId="2" applyFont="1" applyBorder="1" applyAlignment="1">
      <alignment vertical="center" wrapText="1"/>
    </xf>
    <xf numFmtId="0" fontId="4" fillId="0" borderId="29" xfId="2" applyFont="1" applyBorder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13" fillId="24" borderId="20" xfId="7" applyFont="1" applyFill="1" applyBorder="1" applyAlignment="1">
      <alignment horizontal="center" vertical="center" wrapText="1"/>
    </xf>
    <xf numFmtId="0" fontId="26" fillId="0" borderId="34" xfId="2" applyFont="1" applyBorder="1" applyAlignment="1">
      <alignment vertical="center" wrapText="1"/>
    </xf>
    <xf numFmtId="0" fontId="26" fillId="0" borderId="17" xfId="2" applyFont="1" applyBorder="1" applyAlignment="1">
      <alignment vertical="center" wrapText="1"/>
    </xf>
    <xf numFmtId="0" fontId="26" fillId="0" borderId="39" xfId="2" applyFont="1" applyBorder="1" applyAlignment="1">
      <alignment vertical="center" wrapText="1"/>
    </xf>
    <xf numFmtId="0" fontId="26" fillId="0" borderId="40" xfId="2" applyFont="1" applyBorder="1" applyAlignment="1">
      <alignment vertical="center" wrapText="1"/>
    </xf>
    <xf numFmtId="0" fontId="26" fillId="0" borderId="19" xfId="2" applyFont="1" applyBorder="1" applyAlignment="1">
      <alignment vertical="center" wrapText="1"/>
    </xf>
    <xf numFmtId="0" fontId="5" fillId="0" borderId="0" xfId="2" applyAlignment="1">
      <alignment horizontal="center" vertical="center" wrapText="1"/>
    </xf>
    <xf numFmtId="0" fontId="26" fillId="0" borderId="34" xfId="2" applyFont="1" applyBorder="1" applyAlignment="1">
      <alignment horizontal="center" vertical="center" wrapText="1"/>
    </xf>
    <xf numFmtId="0" fontId="26" fillId="0" borderId="17" xfId="2" applyFont="1" applyBorder="1" applyAlignment="1">
      <alignment horizontal="center" vertical="center" wrapText="1"/>
    </xf>
    <xf numFmtId="0" fontId="26" fillId="0" borderId="39" xfId="2" applyFont="1" applyBorder="1" applyAlignment="1">
      <alignment horizontal="center" vertical="center" wrapText="1"/>
    </xf>
    <xf numFmtId="0" fontId="26" fillId="0" borderId="40" xfId="2" applyFont="1" applyBorder="1" applyAlignment="1">
      <alignment horizontal="center" vertical="center" wrapText="1"/>
    </xf>
    <xf numFmtId="0" fontId="26" fillId="0" borderId="19" xfId="2" applyFont="1" applyBorder="1" applyAlignment="1">
      <alignment horizontal="center" vertical="center" wrapText="1"/>
    </xf>
    <xf numFmtId="0" fontId="48" fillId="17" borderId="1" xfId="2" applyFont="1" applyFill="1" applyBorder="1"/>
    <xf numFmtId="0" fontId="5" fillId="0" borderId="1" xfId="2" applyFont="1" applyBorder="1"/>
    <xf numFmtId="0" fontId="4" fillId="0" borderId="28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4" fillId="6" borderId="23" xfId="9" applyFont="1" applyFill="1" applyBorder="1" applyAlignment="1">
      <alignment horizontal="center" vertical="center" wrapText="1"/>
    </xf>
    <xf numFmtId="0" fontId="4" fillId="6" borderId="1" xfId="9" applyFont="1" applyFill="1" applyBorder="1" applyAlignment="1">
      <alignment horizontal="center" vertical="center" wrapText="1"/>
    </xf>
    <xf numFmtId="0" fontId="4" fillId="6" borderId="28" xfId="9" applyFont="1" applyFill="1" applyBorder="1" applyAlignment="1">
      <alignment horizontal="center" vertical="center" wrapText="1"/>
    </xf>
    <xf numFmtId="0" fontId="4" fillId="6" borderId="36" xfId="2" applyFont="1" applyFill="1" applyBorder="1" applyAlignment="1">
      <alignment vertical="center" wrapText="1"/>
    </xf>
    <xf numFmtId="0" fontId="4" fillId="6" borderId="23" xfId="2" applyFont="1" applyFill="1" applyBorder="1" applyAlignment="1">
      <alignment vertical="center" wrapText="1"/>
    </xf>
    <xf numFmtId="0" fontId="4" fillId="6" borderId="24" xfId="2" applyFont="1" applyFill="1" applyBorder="1" applyAlignment="1">
      <alignment vertical="center" wrapText="1"/>
    </xf>
    <xf numFmtId="0" fontId="4" fillId="6" borderId="22" xfId="2" applyFont="1" applyFill="1" applyBorder="1" applyAlignment="1">
      <alignment vertical="center" wrapText="1"/>
    </xf>
    <xf numFmtId="0" fontId="4" fillId="6" borderId="6" xfId="2" applyFont="1" applyFill="1" applyBorder="1" applyAlignment="1">
      <alignment vertical="center" wrapText="1"/>
    </xf>
    <xf numFmtId="0" fontId="4" fillId="6" borderId="1" xfId="2" applyFont="1" applyFill="1" applyBorder="1" applyAlignment="1">
      <alignment vertical="center" wrapText="1"/>
    </xf>
    <xf numFmtId="0" fontId="4" fillId="6" borderId="26" xfId="2" applyFont="1" applyFill="1" applyBorder="1" applyAlignment="1">
      <alignment vertical="center" wrapText="1"/>
    </xf>
    <xf numFmtId="0" fontId="4" fillId="6" borderId="25" xfId="2" applyFont="1" applyFill="1" applyBorder="1" applyAlignment="1">
      <alignment vertical="center" wrapText="1"/>
    </xf>
    <xf numFmtId="0" fontId="4" fillId="6" borderId="38" xfId="2" applyFont="1" applyFill="1" applyBorder="1" applyAlignment="1">
      <alignment vertical="center" wrapText="1"/>
    </xf>
    <xf numFmtId="0" fontId="4" fillId="6" borderId="28" xfId="2" applyFont="1" applyFill="1" applyBorder="1" applyAlignment="1">
      <alignment vertical="center" wrapText="1"/>
    </xf>
    <xf numFmtId="0" fontId="4" fillId="6" borderId="29" xfId="2" applyFont="1" applyFill="1" applyBorder="1" applyAlignment="1">
      <alignment vertical="center" wrapText="1"/>
    </xf>
    <xf numFmtId="0" fontId="4" fillId="6" borderId="27" xfId="2" applyFont="1" applyFill="1" applyBorder="1" applyAlignment="1">
      <alignment vertical="center" wrapText="1"/>
    </xf>
    <xf numFmtId="0" fontId="4" fillId="6" borderId="35" xfId="2" applyFont="1" applyFill="1" applyBorder="1" applyAlignment="1">
      <alignment vertical="center" wrapText="1"/>
    </xf>
    <xf numFmtId="0" fontId="4" fillId="6" borderId="5" xfId="2" applyFont="1" applyFill="1" applyBorder="1" applyAlignment="1">
      <alignment vertical="center" wrapText="1"/>
    </xf>
    <xf numFmtId="0" fontId="4" fillId="0" borderId="0" xfId="8" applyFont="1" applyBorder="1" applyAlignment="1">
      <alignment horizontal="left" vertical="center"/>
    </xf>
    <xf numFmtId="0" fontId="13" fillId="0" borderId="0" xfId="8" applyFont="1" applyBorder="1" applyAlignment="1">
      <alignment horizontal="left" vertical="center" wrapText="1"/>
    </xf>
    <xf numFmtId="0" fontId="4" fillId="0" borderId="0" xfId="8" applyFont="1" applyBorder="1" applyAlignment="1">
      <alignment horizontal="center" wrapText="1"/>
    </xf>
    <xf numFmtId="0" fontId="4" fillId="0" borderId="0" xfId="2" applyFont="1" applyBorder="1" applyAlignment="1">
      <alignment horizontal="center"/>
    </xf>
    <xf numFmtId="0" fontId="4" fillId="0" borderId="0" xfId="8" applyFont="1" applyBorder="1" applyAlignment="1">
      <alignment wrapText="1"/>
    </xf>
    <xf numFmtId="0" fontId="13" fillId="0" borderId="0" xfId="8" applyFont="1" applyBorder="1" applyAlignment="1">
      <alignment vertical="center" wrapText="1"/>
    </xf>
    <xf numFmtId="0" fontId="4" fillId="0" borderId="0" xfId="9" applyFont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42" xfId="2" applyFont="1" applyBorder="1" applyAlignment="1">
      <alignment wrapText="1"/>
    </xf>
    <xf numFmtId="0" fontId="26" fillId="20" borderId="17" xfId="0" applyFont="1" applyFill="1" applyBorder="1" applyAlignment="1">
      <alignment horizontal="center" vertical="center" wrapText="1"/>
    </xf>
    <xf numFmtId="0" fontId="4" fillId="0" borderId="22" xfId="7" applyFont="1" applyBorder="1" applyAlignment="1">
      <alignment horizontal="left" wrapText="1"/>
    </xf>
    <xf numFmtId="0" fontId="13" fillId="0" borderId="23" xfId="7" applyFont="1" applyBorder="1" applyAlignment="1">
      <alignment wrapText="1"/>
    </xf>
    <xf numFmtId="0" fontId="4" fillId="0" borderId="4" xfId="7" applyFont="1" applyBorder="1" applyAlignment="1">
      <alignment wrapText="1"/>
    </xf>
    <xf numFmtId="0" fontId="4" fillId="0" borderId="4" xfId="7" applyFont="1" applyBorder="1" applyAlignment="1">
      <alignment horizontal="center" wrapText="1"/>
    </xf>
    <xf numFmtId="0" fontId="4" fillId="0" borderId="4" xfId="9" applyFont="1" applyBorder="1" applyAlignment="1">
      <alignment horizontal="center" wrapText="1"/>
    </xf>
    <xf numFmtId="0" fontId="4" fillId="0" borderId="43" xfId="9" applyFont="1" applyBorder="1" applyAlignment="1">
      <alignment horizontal="center" wrapText="1"/>
    </xf>
    <xf numFmtId="0" fontId="4" fillId="0" borderId="25" xfId="7" applyFont="1" applyBorder="1" applyAlignment="1">
      <alignment horizontal="left" wrapText="1"/>
    </xf>
    <xf numFmtId="0" fontId="13" fillId="0" borderId="1" xfId="7" applyFont="1" applyBorder="1" applyAlignment="1">
      <alignment wrapText="1"/>
    </xf>
    <xf numFmtId="0" fontId="13" fillId="0" borderId="1" xfId="7" applyFont="1" applyBorder="1" applyAlignment="1">
      <alignment horizontal="left" vertical="center" wrapText="1"/>
    </xf>
    <xf numFmtId="0" fontId="4" fillId="0" borderId="8" xfId="9" applyFont="1" applyBorder="1" applyAlignment="1">
      <alignment horizontal="center" wrapText="1"/>
    </xf>
    <xf numFmtId="0" fontId="4" fillId="19" borderId="25" xfId="7" applyFont="1" applyFill="1" applyBorder="1" applyAlignment="1">
      <alignment horizontal="left" wrapText="1"/>
    </xf>
    <xf numFmtId="0" fontId="13" fillId="19" borderId="1" xfId="7" applyFont="1" applyFill="1" applyBorder="1" applyAlignment="1">
      <alignment wrapText="1"/>
    </xf>
    <xf numFmtId="0" fontId="4" fillId="19" borderId="1" xfId="7" applyFont="1" applyFill="1" applyBorder="1" applyAlignment="1">
      <alignment wrapText="1"/>
    </xf>
    <xf numFmtId="0" fontId="4" fillId="19" borderId="1" xfId="7" applyFont="1" applyFill="1" applyBorder="1" applyAlignment="1">
      <alignment horizontal="center" wrapText="1"/>
    </xf>
    <xf numFmtId="0" fontId="4" fillId="19" borderId="1" xfId="9" applyFont="1" applyFill="1" applyBorder="1" applyAlignment="1">
      <alignment horizontal="center" wrapText="1"/>
    </xf>
    <xf numFmtId="0" fontId="4" fillId="19" borderId="8" xfId="9" applyFont="1" applyFill="1" applyBorder="1" applyAlignment="1">
      <alignment horizontal="center" wrapText="1"/>
    </xf>
    <xf numFmtId="0" fontId="13" fillId="0" borderId="1" xfId="7" applyFont="1" applyBorder="1" applyAlignment="1">
      <alignment horizontal="left" wrapText="1"/>
    </xf>
    <xf numFmtId="0" fontId="13" fillId="19" borderId="1" xfId="7" applyFont="1" applyFill="1" applyBorder="1" applyAlignment="1">
      <alignment horizontal="left" wrapText="1"/>
    </xf>
    <xf numFmtId="0" fontId="4" fillId="19" borderId="26" xfId="9" applyFont="1" applyFill="1" applyBorder="1" applyAlignment="1">
      <alignment horizontal="center" wrapText="1"/>
    </xf>
    <xf numFmtId="0" fontId="4" fillId="0" borderId="1" xfId="7" applyFont="1" applyBorder="1" applyAlignment="1">
      <alignment horizontal="left" wrapText="1"/>
    </xf>
    <xf numFmtId="0" fontId="4" fillId="0" borderId="25" xfId="7" applyFont="1" applyBorder="1" applyAlignment="1">
      <alignment horizontal="left" vertical="center" wrapText="1"/>
    </xf>
    <xf numFmtId="0" fontId="13" fillId="24" borderId="1" xfId="7" applyFont="1" applyFill="1" applyBorder="1" applyAlignment="1">
      <alignment horizontal="center" wrapText="1"/>
    </xf>
    <xf numFmtId="0" fontId="26" fillId="20" borderId="1" xfId="0" applyFont="1" applyFill="1" applyBorder="1" applyAlignment="1">
      <alignment horizontal="center" vertical="center" wrapText="1"/>
    </xf>
    <xf numFmtId="0" fontId="4" fillId="10" borderId="1" xfId="7" applyFont="1" applyFill="1" applyBorder="1" applyAlignment="1">
      <alignment horizontal="left" wrapText="1"/>
    </xf>
    <xf numFmtId="0" fontId="13" fillId="10" borderId="1" xfId="7" applyFont="1" applyFill="1" applyBorder="1" applyAlignment="1">
      <alignment horizontal="left" wrapText="1"/>
    </xf>
    <xf numFmtId="0" fontId="4" fillId="10" borderId="1" xfId="7" applyFont="1" applyFill="1" applyBorder="1" applyAlignment="1">
      <alignment horizontal="center" wrapText="1"/>
    </xf>
    <xf numFmtId="0" fontId="4" fillId="10" borderId="1" xfId="9" applyFont="1" applyFill="1" applyBorder="1" applyAlignment="1">
      <alignment horizontal="center" wrapText="1"/>
    </xf>
    <xf numFmtId="0" fontId="22" fillId="0" borderId="0" xfId="0" applyFont="1" applyAlignment="1">
      <alignment wrapText="1"/>
    </xf>
    <xf numFmtId="0" fontId="26" fillId="0" borderId="40" xfId="0" applyFont="1" applyBorder="1" applyAlignment="1">
      <alignment wrapText="1"/>
    </xf>
    <xf numFmtId="0" fontId="26" fillId="0" borderId="19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22" fillId="0" borderId="22" xfId="0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0" fontId="22" fillId="0" borderId="24" xfId="0" applyFont="1" applyBorder="1" applyAlignment="1">
      <alignment horizontal="center" wrapText="1"/>
    </xf>
    <xf numFmtId="0" fontId="22" fillId="0" borderId="22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0" fontId="22" fillId="0" borderId="35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2" fillId="0" borderId="25" xfId="0" applyFont="1" applyBorder="1" applyAlignment="1">
      <alignment horizontal="center" wrapText="1"/>
    </xf>
    <xf numFmtId="0" fontId="22" fillId="0" borderId="26" xfId="0" applyFont="1" applyBorder="1" applyAlignment="1">
      <alignment horizontal="center" wrapText="1"/>
    </xf>
    <xf numFmtId="0" fontId="22" fillId="0" borderId="25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19" borderId="25" xfId="0" applyFont="1" applyFill="1" applyBorder="1" applyAlignment="1">
      <alignment horizontal="center" wrapText="1"/>
    </xf>
    <xf numFmtId="0" fontId="22" fillId="19" borderId="1" xfId="0" applyFont="1" applyFill="1" applyBorder="1" applyAlignment="1">
      <alignment horizontal="center" wrapText="1"/>
    </xf>
    <xf numFmtId="0" fontId="22" fillId="19" borderId="26" xfId="0" applyFont="1" applyFill="1" applyBorder="1" applyAlignment="1">
      <alignment horizontal="center" wrapText="1"/>
    </xf>
    <xf numFmtId="0" fontId="22" fillId="19" borderId="25" xfId="0" applyFont="1" applyFill="1" applyBorder="1" applyAlignment="1">
      <alignment wrapText="1"/>
    </xf>
    <xf numFmtId="0" fontId="22" fillId="19" borderId="1" xfId="0" applyFont="1" applyFill="1" applyBorder="1" applyAlignment="1">
      <alignment wrapText="1"/>
    </xf>
    <xf numFmtId="0" fontId="22" fillId="19" borderId="5" xfId="0" applyFont="1" applyFill="1" applyBorder="1" applyAlignment="1">
      <alignment wrapText="1"/>
    </xf>
    <xf numFmtId="0" fontId="22" fillId="0" borderId="6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26" fillId="0" borderId="17" xfId="0" applyFont="1" applyBorder="1" applyAlignment="1">
      <alignment wrapText="1"/>
    </xf>
    <xf numFmtId="10" fontId="26" fillId="0" borderId="19" xfId="0" applyNumberFormat="1" applyFont="1" applyBorder="1" applyAlignment="1">
      <alignment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2" fillId="10" borderId="25" xfId="0" applyFont="1" applyFill="1" applyBorder="1" applyAlignment="1">
      <alignment horizontal="center" wrapText="1"/>
    </xf>
    <xf numFmtId="0" fontId="22" fillId="10" borderId="1" xfId="0" applyFont="1" applyFill="1" applyBorder="1" applyAlignment="1">
      <alignment horizontal="center" wrapText="1"/>
    </xf>
    <xf numFmtId="0" fontId="22" fillId="10" borderId="26" xfId="0" applyFont="1" applyFill="1" applyBorder="1" applyAlignment="1">
      <alignment horizontal="center" wrapText="1"/>
    </xf>
    <xf numFmtId="0" fontId="22" fillId="10" borderId="1" xfId="0" applyFont="1" applyFill="1" applyBorder="1" applyAlignment="1">
      <alignment wrapText="1"/>
    </xf>
    <xf numFmtId="0" fontId="22" fillId="21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6" fillId="0" borderId="18" xfId="0" applyFont="1" applyBorder="1" applyAlignment="1">
      <alignment wrapText="1"/>
    </xf>
    <xf numFmtId="0" fontId="13" fillId="24" borderId="14" xfId="7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4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49" fillId="0" borderId="0" xfId="0" applyFont="1"/>
    <xf numFmtId="0" fontId="50" fillId="0" borderId="0" xfId="0" applyFont="1"/>
    <xf numFmtId="49" fontId="41" fillId="0" borderId="0" xfId="0" applyNumberFormat="1" applyFont="1" applyFill="1" applyProtection="1">
      <protection locked="0"/>
    </xf>
    <xf numFmtId="0" fontId="42" fillId="0" borderId="0" xfId="6" applyFont="1" applyFill="1" applyAlignment="1">
      <alignment horizontal="left" wrapText="1"/>
    </xf>
    <xf numFmtId="0" fontId="29" fillId="0" borderId="0" xfId="0" applyFont="1" applyFill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Fill="1" applyAlignment="1">
      <alignment vertical="center"/>
    </xf>
    <xf numFmtId="0" fontId="15" fillId="0" borderId="0" xfId="0" applyFont="1" applyFill="1"/>
    <xf numFmtId="0" fontId="0" fillId="0" borderId="0" xfId="0" applyAlignment="1">
      <alignment horizontal="center"/>
    </xf>
    <xf numFmtId="10" fontId="22" fillId="0" borderId="0" xfId="0" applyNumberFormat="1" applyFont="1" applyFill="1" applyBorder="1"/>
    <xf numFmtId="0" fontId="34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51" fillId="0" borderId="0" xfId="0" applyFont="1"/>
    <xf numFmtId="0" fontId="0" fillId="0" borderId="0" xfId="0"/>
    <xf numFmtId="0" fontId="5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horizontal="right"/>
    </xf>
    <xf numFmtId="0" fontId="45" fillId="0" borderId="0" xfId="0" applyFont="1" applyFill="1"/>
    <xf numFmtId="0" fontId="7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Fill="1"/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13" fillId="0" borderId="0" xfId="0" applyFont="1"/>
    <xf numFmtId="0" fontId="7" fillId="2" borderId="30" xfId="2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50" xfId="2" applyFont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3" borderId="44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0" fontId="8" fillId="3" borderId="54" xfId="2" applyFont="1" applyFill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10" fontId="9" fillId="0" borderId="9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0" fontId="9" fillId="0" borderId="13" xfId="1" applyNumberFormat="1" applyFont="1" applyBorder="1" applyAlignment="1">
      <alignment horizontal="center" vertical="center"/>
    </xf>
    <xf numFmtId="10" fontId="9" fillId="0" borderId="11" xfId="1" applyNumberFormat="1" applyFont="1" applyBorder="1" applyAlignment="1">
      <alignment horizontal="center" vertical="center"/>
    </xf>
    <xf numFmtId="10" fontId="9" fillId="0" borderId="11" xfId="2" applyNumberFormat="1" applyFont="1" applyFill="1" applyBorder="1" applyAlignment="1">
      <alignment horizontal="center" vertical="center"/>
    </xf>
    <xf numFmtId="10" fontId="9" fillId="0" borderId="9" xfId="2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2" fontId="9" fillId="0" borderId="13" xfId="2" applyNumberFormat="1" applyFont="1" applyFill="1" applyBorder="1" applyAlignment="1">
      <alignment horizontal="center" vertical="center"/>
    </xf>
    <xf numFmtId="2" fontId="9" fillId="0" borderId="11" xfId="2" applyNumberFormat="1" applyFont="1" applyFill="1" applyBorder="1" applyAlignment="1">
      <alignment horizontal="center" vertical="center"/>
    </xf>
    <xf numFmtId="2" fontId="9" fillId="0" borderId="9" xfId="2" applyNumberFormat="1" applyFont="1" applyFill="1" applyBorder="1" applyAlignment="1">
      <alignment horizontal="center" vertical="center"/>
    </xf>
    <xf numFmtId="2" fontId="0" fillId="0" borderId="15" xfId="0" applyNumberFormat="1" applyBorder="1"/>
    <xf numFmtId="2" fontId="7" fillId="0" borderId="15" xfId="2" applyNumberFormat="1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left" vertical="center" wrapText="1"/>
    </xf>
    <xf numFmtId="0" fontId="9" fillId="0" borderId="13" xfId="2" applyNumberFormat="1" applyFont="1" applyFill="1" applyBorder="1" applyAlignment="1">
      <alignment horizontal="center" vertical="center"/>
    </xf>
    <xf numFmtId="0" fontId="9" fillId="0" borderId="11" xfId="2" applyNumberFormat="1" applyFont="1" applyFill="1" applyBorder="1" applyAlignment="1">
      <alignment horizontal="center" vertical="center"/>
    </xf>
    <xf numFmtId="0" fontId="9" fillId="0" borderId="9" xfId="2" applyNumberFormat="1" applyFont="1" applyFill="1" applyBorder="1" applyAlignment="1">
      <alignment horizontal="center" vertical="center"/>
    </xf>
    <xf numFmtId="0" fontId="9" fillId="0" borderId="13" xfId="2" applyNumberFormat="1" applyFont="1" applyBorder="1" applyAlignment="1">
      <alignment horizontal="center" vertical="center"/>
    </xf>
    <xf numFmtId="0" fontId="9" fillId="0" borderId="58" xfId="2" applyNumberFormat="1" applyFont="1" applyBorder="1" applyAlignment="1">
      <alignment horizontal="center" vertical="center"/>
    </xf>
    <xf numFmtId="0" fontId="9" fillId="0" borderId="57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3" fillId="0" borderId="49" xfId="0" applyFont="1" applyBorder="1" applyAlignment="1">
      <alignment horizontal="center" vertical="center" wrapText="1"/>
    </xf>
    <xf numFmtId="0" fontId="7" fillId="22" borderId="9" xfId="0" applyFont="1" applyFill="1" applyBorder="1" applyAlignment="1">
      <alignment horizontal="center" vertical="center"/>
    </xf>
    <xf numFmtId="0" fontId="7" fillId="22" borderId="61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/>
    </xf>
    <xf numFmtId="0" fontId="8" fillId="7" borderId="60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6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3" fillId="0" borderId="63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10" fillId="0" borderId="0" xfId="2" applyNumberFormat="1" applyFont="1" applyFill="1"/>
    <xf numFmtId="164" fontId="0" fillId="0" borderId="0" xfId="0" applyNumberFormat="1" applyFill="1"/>
    <xf numFmtId="164" fontId="4" fillId="0" borderId="0" xfId="0" applyNumberFormat="1" applyFont="1" applyFill="1"/>
    <xf numFmtId="10" fontId="7" fillId="2" borderId="30" xfId="1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0" borderId="0" xfId="1" applyNumberFormat="1" applyFont="1" applyFill="1"/>
    <xf numFmtId="0" fontId="8" fillId="0" borderId="4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62" xfId="0" applyFont="1" applyFill="1" applyBorder="1" applyAlignment="1">
      <alignment horizontal="center"/>
    </xf>
    <xf numFmtId="0" fontId="7" fillId="2" borderId="30" xfId="2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/>
    <xf numFmtId="0" fontId="32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8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10" fontId="8" fillId="0" borderId="48" xfId="0" applyNumberFormat="1" applyFont="1" applyBorder="1" applyAlignment="1">
      <alignment horizontal="center" vertical="center" wrapText="1"/>
    </xf>
    <xf numFmtId="10" fontId="8" fillId="0" borderId="48" xfId="0" applyNumberFormat="1" applyFont="1" applyFill="1" applyBorder="1" applyAlignment="1">
      <alignment horizontal="center" vertical="center" wrapText="1"/>
    </xf>
    <xf numFmtId="9" fontId="8" fillId="0" borderId="48" xfId="0" applyNumberFormat="1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0" fillId="0" borderId="48" xfId="0" applyBorder="1"/>
    <xf numFmtId="0" fontId="9" fillId="0" borderId="50" xfId="0" applyFont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13" xfId="2" applyNumberFormat="1" applyFont="1" applyBorder="1" applyAlignment="1">
      <alignment horizontal="center" vertical="center"/>
    </xf>
    <xf numFmtId="10" fontId="9" fillId="0" borderId="47" xfId="1" applyNumberFormat="1" applyFont="1" applyBorder="1" applyAlignment="1">
      <alignment horizontal="center" vertical="center"/>
    </xf>
    <xf numFmtId="2" fontId="9" fillId="0" borderId="47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10" fontId="9" fillId="0" borderId="2" xfId="1" applyNumberFormat="1" applyFont="1" applyBorder="1" applyAlignment="1">
      <alignment horizontal="center" vertical="center"/>
    </xf>
    <xf numFmtId="2" fontId="9" fillId="0" borderId="2" xfId="2" applyNumberFormat="1" applyFont="1" applyBorder="1" applyAlignment="1">
      <alignment horizontal="center" vertical="center"/>
    </xf>
    <xf numFmtId="10" fontId="9" fillId="0" borderId="50" xfId="1" applyNumberFormat="1" applyFont="1" applyBorder="1" applyAlignment="1">
      <alignment horizontal="center" vertical="center"/>
    </xf>
    <xf numFmtId="2" fontId="9" fillId="0" borderId="50" xfId="2" applyNumberFormat="1" applyFont="1" applyBorder="1" applyAlignment="1">
      <alignment horizontal="center" vertical="center"/>
    </xf>
    <xf numFmtId="0" fontId="7" fillId="14" borderId="9" xfId="0" applyFont="1" applyFill="1" applyBorder="1" applyAlignment="1">
      <alignment vertical="center"/>
    </xf>
    <xf numFmtId="2" fontId="7" fillId="22" borderId="9" xfId="0" applyNumberFormat="1" applyFont="1" applyFill="1" applyBorder="1" applyAlignment="1">
      <alignment horizontal="center" vertical="center" wrapText="1"/>
    </xf>
    <xf numFmtId="10" fontId="7" fillId="22" borderId="9" xfId="1" applyNumberFormat="1" applyFont="1" applyFill="1" applyBorder="1" applyAlignment="1">
      <alignment horizontal="center" vertical="center" wrapText="1"/>
    </xf>
    <xf numFmtId="164" fontId="7" fillId="14" borderId="0" xfId="0" applyNumberFormat="1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 wrapText="1"/>
    </xf>
    <xf numFmtId="0" fontId="7" fillId="14" borderId="0" xfId="0" applyFont="1" applyFill="1" applyBorder="1" applyAlignment="1">
      <alignment horizontal="center" vertical="center"/>
    </xf>
    <xf numFmtId="0" fontId="34" fillId="12" borderId="0" xfId="0" applyFont="1" applyFill="1" applyBorder="1" applyAlignment="1">
      <alignment horizontal="left" vertical="center" wrapText="1"/>
    </xf>
    <xf numFmtId="0" fontId="8" fillId="10" borderId="0" xfId="2" applyFont="1" applyFill="1" applyBorder="1" applyAlignment="1">
      <alignment horizontal="left" vertical="center" wrapText="1"/>
    </xf>
    <xf numFmtId="0" fontId="8" fillId="10" borderId="0" xfId="2" applyFont="1" applyFill="1" applyBorder="1" applyAlignment="1">
      <alignment horizontal="center" vertical="center" wrapText="1"/>
    </xf>
    <xf numFmtId="0" fontId="9" fillId="0" borderId="56" xfId="2" applyFont="1" applyBorder="1" applyAlignment="1">
      <alignment horizontal="center" vertical="center"/>
    </xf>
    <xf numFmtId="10" fontId="9" fillId="0" borderId="56" xfId="1" applyNumberFormat="1" applyFont="1" applyBorder="1" applyAlignment="1">
      <alignment horizontal="center" vertical="center"/>
    </xf>
    <xf numFmtId="10" fontId="7" fillId="14" borderId="0" xfId="0" applyNumberFormat="1" applyFont="1" applyFill="1" applyBorder="1" applyAlignment="1">
      <alignment horizontal="center" vertical="center"/>
    </xf>
    <xf numFmtId="0" fontId="7" fillId="14" borderId="0" xfId="0" applyNumberFormat="1" applyFont="1" applyFill="1" applyBorder="1" applyAlignment="1">
      <alignment horizontal="center" vertical="center" wrapText="1"/>
    </xf>
    <xf numFmtId="0" fontId="7" fillId="14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8" fillId="3" borderId="50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top" wrapText="1"/>
    </xf>
    <xf numFmtId="0" fontId="19" fillId="0" borderId="0" xfId="0" applyFont="1" applyAlignment="1">
      <alignment vertical="center"/>
    </xf>
    <xf numFmtId="3" fontId="7" fillId="14" borderId="0" xfId="0" applyNumberFormat="1" applyFont="1" applyFill="1" applyBorder="1" applyAlignment="1">
      <alignment horizontal="center" vertical="center" wrapText="1"/>
    </xf>
    <xf numFmtId="4" fontId="9" fillId="0" borderId="50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0" fillId="0" borderId="0" xfId="0" applyAlignment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vertical="center"/>
    </xf>
    <xf numFmtId="0" fontId="35" fillId="0" borderId="0" xfId="0" applyFont="1" applyBorder="1"/>
    <xf numFmtId="0" fontId="30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10" fontId="22" fillId="0" borderId="0" xfId="3" applyNumberFormat="1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 wrapText="1"/>
    </xf>
    <xf numFmtId="10" fontId="22" fillId="0" borderId="50" xfId="3" applyNumberFormat="1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10" fontId="22" fillId="0" borderId="46" xfId="3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0" fontId="22" fillId="0" borderId="9" xfId="3" applyNumberFormat="1" applyFont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center" vertical="center" wrapText="1"/>
    </xf>
    <xf numFmtId="10" fontId="19" fillId="0" borderId="0" xfId="4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 wrapText="1"/>
    </xf>
    <xf numFmtId="10" fontId="19" fillId="0" borderId="9" xfId="4" applyNumberFormat="1" applyFont="1" applyFill="1" applyBorder="1" applyAlignment="1">
      <alignment horizontal="center" vertical="center" wrapText="1"/>
    </xf>
    <xf numFmtId="0" fontId="19" fillId="0" borderId="2" xfId="4" applyFont="1" applyFill="1" applyBorder="1" applyAlignment="1">
      <alignment horizontal="center" vertical="center" wrapText="1"/>
    </xf>
    <xf numFmtId="10" fontId="19" fillId="0" borderId="2" xfId="4" applyNumberFormat="1" applyFont="1" applyFill="1" applyBorder="1" applyAlignment="1">
      <alignment horizontal="center" vertical="center" wrapText="1"/>
    </xf>
    <xf numFmtId="0" fontId="19" fillId="0" borderId="50" xfId="4" applyFont="1" applyFill="1" applyBorder="1" applyAlignment="1">
      <alignment horizontal="center" vertical="center" wrapText="1"/>
    </xf>
    <xf numFmtId="10" fontId="19" fillId="0" borderId="50" xfId="4" applyNumberFormat="1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2" fontId="9" fillId="0" borderId="30" xfId="2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vertical="center" wrapText="1"/>
    </xf>
    <xf numFmtId="0" fontId="9" fillId="4" borderId="47" xfId="0" applyFont="1" applyFill="1" applyBorder="1" applyAlignment="1">
      <alignment horizontal="right" vertical="center" wrapText="1"/>
    </xf>
    <xf numFmtId="0" fontId="22" fillId="0" borderId="9" xfId="0" applyFont="1" applyBorder="1" applyAlignment="1">
      <alignment horizontal="center" vertical="center"/>
    </xf>
    <xf numFmtId="14" fontId="22" fillId="0" borderId="9" xfId="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4" fontId="22" fillId="0" borderId="47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14" fontId="22" fillId="0" borderId="48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10" fontId="0" fillId="0" borderId="0" xfId="1" applyNumberFormat="1" applyFont="1" applyFill="1"/>
    <xf numFmtId="10" fontId="9" fillId="0" borderId="47" xfId="1" applyNumberFormat="1" applyFont="1" applyBorder="1" applyAlignment="1">
      <alignment horizontal="center" vertical="center" wrapText="1"/>
    </xf>
    <xf numFmtId="10" fontId="9" fillId="0" borderId="9" xfId="1" applyNumberFormat="1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/>
    </xf>
    <xf numFmtId="0" fontId="34" fillId="22" borderId="9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vertical="center"/>
    </xf>
    <xf numFmtId="0" fontId="0" fillId="0" borderId="0" xfId="0" applyBorder="1" applyAlignment="1"/>
    <xf numFmtId="2" fontId="19" fillId="0" borderId="0" xfId="4" applyNumberFormat="1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2" fontId="19" fillId="0" borderId="9" xfId="4" applyNumberFormat="1" applyFont="1" applyFill="1" applyBorder="1" applyAlignment="1">
      <alignment horizontal="center" vertical="center"/>
    </xf>
    <xf numFmtId="2" fontId="19" fillId="0" borderId="0" xfId="4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10" fontId="19" fillId="0" borderId="47" xfId="1" applyNumberFormat="1" applyFont="1" applyFill="1" applyBorder="1" applyAlignment="1">
      <alignment horizontal="center" vertical="center"/>
    </xf>
    <xf numFmtId="10" fontId="19" fillId="0" borderId="9" xfId="1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7" fillId="2" borderId="0" xfId="2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left" vertical="center" wrapText="1"/>
    </xf>
    <xf numFmtId="2" fontId="7" fillId="14" borderId="9" xfId="0" applyNumberFormat="1" applyFont="1" applyFill="1" applyBorder="1" applyAlignment="1">
      <alignment horizontal="center" vertical="center" wrapText="1"/>
    </xf>
    <xf numFmtId="0" fontId="19" fillId="0" borderId="47" xfId="4" applyFont="1" applyFill="1" applyBorder="1" applyAlignment="1">
      <alignment horizontal="center" vertical="center"/>
    </xf>
    <xf numFmtId="0" fontId="26" fillId="9" borderId="68" xfId="0" applyFont="1" applyFill="1" applyBorder="1" applyAlignment="1">
      <alignment horizontal="left"/>
    </xf>
    <xf numFmtId="0" fontId="26" fillId="9" borderId="56" xfId="0" applyFont="1" applyFill="1" applyBorder="1" applyAlignment="1">
      <alignment horizontal="left"/>
    </xf>
    <xf numFmtId="0" fontId="19" fillId="0" borderId="47" xfId="4" applyNumberFormat="1" applyFont="1" applyFill="1" applyBorder="1" applyAlignment="1">
      <alignment horizontal="center" vertical="center"/>
    </xf>
    <xf numFmtId="0" fontId="19" fillId="0" borderId="47" xfId="4" applyNumberFormat="1" applyFont="1" applyFill="1" applyBorder="1" applyAlignment="1">
      <alignment horizontal="center" vertical="center" wrapText="1"/>
    </xf>
    <xf numFmtId="0" fontId="19" fillId="0" borderId="47" xfId="4" applyNumberFormat="1" applyFont="1" applyFill="1" applyBorder="1" applyAlignment="1">
      <alignment horizontal="center" vertical="center"/>
    </xf>
    <xf numFmtId="10" fontId="19" fillId="9" borderId="47" xfId="1" applyNumberFormat="1" applyFont="1" applyFill="1" applyBorder="1" applyAlignment="1">
      <alignment horizontal="center" vertical="center"/>
    </xf>
    <xf numFmtId="0" fontId="22" fillId="0" borderId="0" xfId="0" applyFont="1" applyBorder="1"/>
    <xf numFmtId="0" fontId="34" fillId="22" borderId="0" xfId="0" applyFont="1" applyFill="1" applyBorder="1" applyAlignment="1">
      <alignment horizontal="center" vertical="center"/>
    </xf>
    <xf numFmtId="0" fontId="34" fillId="22" borderId="50" xfId="0" applyFont="1" applyFill="1" applyBorder="1" applyAlignment="1">
      <alignment horizontal="center" vertical="center"/>
    </xf>
    <xf numFmtId="0" fontId="0" fillId="0" borderId="0" xfId="0" applyFill="1" applyAlignment="1"/>
    <xf numFmtId="0" fontId="19" fillId="0" borderId="12" xfId="4" applyNumberFormat="1" applyFont="1" applyFill="1" applyBorder="1" applyAlignment="1">
      <alignment horizontal="center" vertical="center"/>
    </xf>
    <xf numFmtId="0" fontId="19" fillId="0" borderId="12" xfId="4" applyNumberFormat="1" applyFont="1" applyFill="1" applyBorder="1" applyAlignment="1">
      <alignment horizontal="center" vertical="center" wrapText="1"/>
    </xf>
    <xf numFmtId="10" fontId="19" fillId="9" borderId="12" xfId="1" applyNumberFormat="1" applyFont="1" applyFill="1" applyBorder="1" applyAlignment="1">
      <alignment horizontal="center" vertical="center"/>
    </xf>
    <xf numFmtId="0" fontId="19" fillId="0" borderId="50" xfId="4" applyNumberFormat="1" applyFont="1" applyFill="1" applyBorder="1" applyAlignment="1">
      <alignment horizontal="center" vertical="center"/>
    </xf>
    <xf numFmtId="0" fontId="19" fillId="0" borderId="50" xfId="4" applyNumberFormat="1" applyFont="1" applyFill="1" applyBorder="1" applyAlignment="1">
      <alignment horizontal="center" vertical="center" wrapText="1"/>
    </xf>
    <xf numFmtId="0" fontId="19" fillId="0" borderId="50" xfId="4" applyNumberFormat="1" applyFont="1" applyFill="1" applyBorder="1" applyAlignment="1">
      <alignment horizontal="center" vertical="center"/>
    </xf>
    <xf numFmtId="10" fontId="19" fillId="9" borderId="50" xfId="1" applyNumberFormat="1" applyFont="1" applyFill="1" applyBorder="1" applyAlignment="1">
      <alignment horizontal="center" vertical="center"/>
    </xf>
    <xf numFmtId="10" fontId="19" fillId="0" borderId="47" xfId="1" applyNumberFormat="1" applyFont="1" applyFill="1" applyBorder="1" applyAlignment="1">
      <alignment horizontal="center" vertical="center" wrapText="1"/>
    </xf>
    <xf numFmtId="0" fontId="0" fillId="0" borderId="50" xfId="0" applyBorder="1"/>
    <xf numFmtId="10" fontId="19" fillId="0" borderId="12" xfId="1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8" borderId="0" xfId="0" applyFill="1" applyBorder="1" applyAlignment="1"/>
    <xf numFmtId="10" fontId="19" fillId="0" borderId="50" xfId="1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0" xfId="0" applyBorder="1"/>
    <xf numFmtId="0" fontId="19" fillId="0" borderId="47" xfId="1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9" fillId="0" borderId="12" xfId="1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0" fontId="27" fillId="10" borderId="47" xfId="4" applyNumberFormat="1" applyFont="1" applyFill="1" applyBorder="1" applyAlignment="1">
      <alignment horizontal="center" vertical="center" wrapText="1"/>
    </xf>
    <xf numFmtId="10" fontId="27" fillId="10" borderId="47" xfId="1" applyNumberFormat="1" applyFont="1" applyFill="1" applyBorder="1" applyAlignment="1">
      <alignment horizontal="center" vertical="center" wrapText="1"/>
    </xf>
    <xf numFmtId="0" fontId="27" fillId="10" borderId="12" xfId="4" applyNumberFormat="1" applyFont="1" applyFill="1" applyBorder="1" applyAlignment="1">
      <alignment horizontal="center" vertical="center" wrapText="1"/>
    </xf>
    <xf numFmtId="0" fontId="16" fillId="10" borderId="0" xfId="0" applyFont="1" applyFill="1"/>
    <xf numFmtId="10" fontId="16" fillId="10" borderId="0" xfId="1" applyNumberFormat="1" applyFont="1" applyFill="1"/>
    <xf numFmtId="0" fontId="16" fillId="10" borderId="9" xfId="0" applyFont="1" applyFill="1" applyBorder="1"/>
    <xf numFmtId="0" fontId="19" fillId="17" borderId="12" xfId="4" applyNumberFormat="1" applyFont="1" applyFill="1" applyBorder="1" applyAlignment="1">
      <alignment horizontal="center" vertical="center" wrapText="1"/>
    </xf>
    <xf numFmtId="0" fontId="0" fillId="17" borderId="12" xfId="0" applyFill="1" applyBorder="1"/>
    <xf numFmtId="0" fontId="0" fillId="0" borderId="12" xfId="0" applyBorder="1" applyAlignment="1">
      <alignment horizontal="center"/>
    </xf>
    <xf numFmtId="0" fontId="4" fillId="17" borderId="0" xfId="0" applyFont="1" applyFill="1" applyBorder="1" applyAlignment="1">
      <alignment horizontal="center" vertical="center" wrapText="1"/>
    </xf>
    <xf numFmtId="0" fontId="19" fillId="0" borderId="9" xfId="4" applyNumberFormat="1" applyFont="1" applyFill="1" applyBorder="1" applyAlignment="1">
      <alignment horizontal="center" vertical="center"/>
    </xf>
    <xf numFmtId="2" fontId="27" fillId="0" borderId="50" xfId="4" applyNumberFormat="1" applyFont="1" applyFill="1" applyBorder="1" applyAlignment="1">
      <alignment horizontal="center" vertical="center"/>
    </xf>
    <xf numFmtId="2" fontId="27" fillId="0" borderId="0" xfId="4" applyNumberFormat="1" applyFont="1" applyFill="1" applyBorder="1" applyAlignment="1">
      <alignment horizontal="center" vertical="center"/>
    </xf>
    <xf numFmtId="10" fontId="19" fillId="0" borderId="50" xfId="4" applyNumberFormat="1" applyFont="1" applyFill="1" applyBorder="1" applyAlignment="1">
      <alignment horizontal="center" vertical="center"/>
    </xf>
    <xf numFmtId="0" fontId="19" fillId="0" borderId="67" xfId="4" applyNumberFormat="1" applyFont="1" applyFill="1" applyBorder="1" applyAlignment="1">
      <alignment horizontal="center" vertical="center"/>
    </xf>
    <xf numFmtId="0" fontId="19" fillId="0" borderId="67" xfId="4" applyNumberFormat="1" applyFont="1" applyFill="1" applyBorder="1" applyAlignment="1">
      <alignment horizontal="center" vertical="center" wrapText="1"/>
    </xf>
    <xf numFmtId="10" fontId="19" fillId="9" borderId="67" xfId="1" applyNumberFormat="1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3" fontId="9" fillId="0" borderId="5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top" wrapText="1"/>
    </xf>
    <xf numFmtId="3" fontId="9" fillId="0" borderId="9" xfId="0" applyNumberFormat="1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0" fontId="22" fillId="0" borderId="47" xfId="0" quotePrefix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3" borderId="47" xfId="2" applyFont="1" applyFill="1" applyBorder="1" applyAlignment="1">
      <alignment horizontal="center" vertical="center" wrapText="1"/>
    </xf>
    <xf numFmtId="0" fontId="8" fillId="3" borderId="48" xfId="2" applyFont="1" applyFill="1" applyBorder="1" applyAlignment="1">
      <alignment horizontal="center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left" vertical="center" wrapText="1"/>
    </xf>
    <xf numFmtId="0" fontId="8" fillId="3" borderId="48" xfId="2" applyFont="1" applyFill="1" applyBorder="1" applyAlignment="1">
      <alignment horizontal="left" vertical="center" wrapText="1"/>
    </xf>
    <xf numFmtId="0" fontId="8" fillId="3" borderId="46" xfId="2" applyFont="1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8" fillId="3" borderId="0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11" xfId="2" applyNumberFormat="1" applyFont="1" applyBorder="1" applyAlignment="1">
      <alignment horizontal="center" vertical="center" wrapText="1"/>
    </xf>
    <xf numFmtId="0" fontId="9" fillId="0" borderId="13" xfId="2" applyNumberFormat="1" applyFont="1" applyBorder="1" applyAlignment="1">
      <alignment horizontal="center" vertical="center" wrapText="1"/>
    </xf>
    <xf numFmtId="0" fontId="9" fillId="0" borderId="12" xfId="2" applyNumberFormat="1" applyFont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0" borderId="13" xfId="2" applyNumberFormat="1" applyFont="1" applyBorder="1" applyAlignment="1">
      <alignment horizontal="left" vertical="center" wrapText="1"/>
    </xf>
    <xf numFmtId="0" fontId="9" fillId="0" borderId="58" xfId="2" applyNumberFormat="1" applyFont="1" applyBorder="1" applyAlignment="1">
      <alignment horizontal="left" vertical="center" wrapText="1"/>
    </xf>
    <xf numFmtId="0" fontId="9" fillId="0" borderId="57" xfId="2" applyNumberFormat="1" applyFont="1" applyBorder="1" applyAlignment="1">
      <alignment horizontal="left" vertical="center" wrapText="1"/>
    </xf>
    <xf numFmtId="0" fontId="9" fillId="0" borderId="57" xfId="2" applyFont="1" applyBorder="1" applyAlignment="1">
      <alignment horizontal="left" vertical="center"/>
    </xf>
    <xf numFmtId="0" fontId="9" fillId="0" borderId="11" xfId="2" applyFont="1" applyBorder="1" applyAlignment="1">
      <alignment horizontal="left" vertical="center"/>
    </xf>
    <xf numFmtId="0" fontId="9" fillId="0" borderId="58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 wrapText="1"/>
    </xf>
    <xf numFmtId="0" fontId="7" fillId="2" borderId="30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3" borderId="0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55" fillId="0" borderId="0" xfId="0" applyFont="1" applyAlignment="1">
      <alignment horizontal="left"/>
    </xf>
    <xf numFmtId="0" fontId="55" fillId="0" borderId="9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54" fillId="0" borderId="64" xfId="5" applyFont="1" applyBorder="1" applyAlignment="1">
      <alignment horizontal="center" vertical="center" wrapText="1"/>
    </xf>
    <xf numFmtId="0" fontId="54" fillId="0" borderId="46" xfId="5" applyFont="1" applyBorder="1" applyAlignment="1">
      <alignment horizontal="center" vertical="center" wrapText="1"/>
    </xf>
    <xf numFmtId="0" fontId="54" fillId="0" borderId="51" xfId="5" applyFont="1" applyBorder="1" applyAlignment="1">
      <alignment horizontal="center" vertical="center" wrapText="1"/>
    </xf>
    <xf numFmtId="0" fontId="54" fillId="0" borderId="50" xfId="5" applyFont="1" applyBorder="1" applyAlignment="1">
      <alignment horizontal="center" vertical="center" wrapText="1"/>
    </xf>
    <xf numFmtId="0" fontId="54" fillId="0" borderId="44" xfId="5" applyFont="1" applyBorder="1" applyAlignment="1">
      <alignment horizontal="center" vertical="center" wrapText="1"/>
    </xf>
    <xf numFmtId="0" fontId="54" fillId="0" borderId="0" xfId="5" applyFont="1" applyBorder="1" applyAlignment="1">
      <alignment horizontal="center" vertical="center" wrapText="1"/>
    </xf>
    <xf numFmtId="0" fontId="54" fillId="0" borderId="54" xfId="5" applyFont="1" applyBorder="1" applyAlignment="1">
      <alignment horizontal="center" vertical="center" wrapText="1"/>
    </xf>
    <xf numFmtId="0" fontId="54" fillId="0" borderId="9" xfId="5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17" borderId="46" xfId="0" applyFont="1" applyFill="1" applyBorder="1" applyAlignment="1">
      <alignment horizontal="center" vertical="center" wrapText="1"/>
    </xf>
    <xf numFmtId="0" fontId="19" fillId="17" borderId="65" xfId="0" applyFont="1" applyFill="1" applyBorder="1" applyAlignment="1">
      <alignment horizontal="center" vertical="center" wrapText="1"/>
    </xf>
    <xf numFmtId="0" fontId="19" fillId="17" borderId="0" xfId="0" applyFont="1" applyFill="1" applyBorder="1" applyAlignment="1">
      <alignment horizontal="center" vertical="center" wrapText="1"/>
    </xf>
    <xf numFmtId="0" fontId="19" fillId="17" borderId="45" xfId="0" applyFont="1" applyFill="1" applyBorder="1" applyAlignment="1">
      <alignment horizontal="center" vertical="center" wrapText="1"/>
    </xf>
    <xf numFmtId="0" fontId="19" fillId="17" borderId="9" xfId="0" applyFont="1" applyFill="1" applyBorder="1" applyAlignment="1">
      <alignment horizontal="center" vertical="center" wrapText="1"/>
    </xf>
    <xf numFmtId="0" fontId="19" fillId="17" borderId="53" xfId="0" applyFont="1" applyFill="1" applyBorder="1" applyAlignment="1">
      <alignment horizontal="center" vertical="center" wrapText="1"/>
    </xf>
    <xf numFmtId="0" fontId="19" fillId="17" borderId="50" xfId="0" applyFont="1" applyFill="1" applyBorder="1" applyAlignment="1">
      <alignment horizontal="center" vertical="center" wrapText="1"/>
    </xf>
    <xf numFmtId="0" fontId="19" fillId="17" borderId="52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50" xfId="0" applyFont="1" applyBorder="1" applyAlignment="1">
      <alignment vertical="center" wrapText="1"/>
    </xf>
    <xf numFmtId="10" fontId="8" fillId="0" borderId="0" xfId="0" applyNumberFormat="1" applyFont="1" applyBorder="1" applyAlignment="1">
      <alignment horizontal="center" vertical="center" wrapText="1"/>
    </xf>
    <xf numFmtId="10" fontId="8" fillId="0" borderId="50" xfId="0" applyNumberFormat="1" applyFont="1" applyBorder="1" applyAlignment="1">
      <alignment horizontal="center" vertical="center" wrapText="1"/>
    </xf>
    <xf numFmtId="9" fontId="8" fillId="0" borderId="0" xfId="0" applyNumberFormat="1" applyFont="1" applyBorder="1" applyAlignment="1">
      <alignment horizontal="center" vertical="center" wrapText="1"/>
    </xf>
    <xf numFmtId="9" fontId="8" fillId="0" borderId="50" xfId="0" applyNumberFormat="1" applyFont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10" fontId="8" fillId="0" borderId="5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8" fillId="10" borderId="0" xfId="2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10" fontId="8" fillId="0" borderId="46" xfId="0" applyNumberFormat="1" applyFont="1" applyBorder="1" applyAlignment="1">
      <alignment horizontal="center" vertical="center" wrapText="1"/>
    </xf>
    <xf numFmtId="10" fontId="8" fillId="0" borderId="46" xfId="0" applyNumberFormat="1" applyFont="1" applyFill="1" applyBorder="1" applyAlignment="1">
      <alignment horizontal="center" vertical="center" wrapText="1"/>
    </xf>
    <xf numFmtId="0" fontId="24" fillId="0" borderId="46" xfId="0" applyFont="1" applyBorder="1" applyAlignment="1">
      <alignment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8" fillId="10" borderId="0" xfId="2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8" fillId="10" borderId="0" xfId="2" applyFont="1" applyFill="1" applyBorder="1" applyAlignment="1">
      <alignment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34" fillId="12" borderId="0" xfId="0" applyFont="1" applyFill="1" applyBorder="1" applyAlignment="1">
      <alignment horizontal="left" vertical="center" wrapText="1"/>
    </xf>
    <xf numFmtId="0" fontId="7" fillId="14" borderId="0" xfId="0" applyFont="1" applyFill="1" applyBorder="1" applyAlignment="1">
      <alignment horizontal="left" vertical="center"/>
    </xf>
    <xf numFmtId="0" fontId="8" fillId="10" borderId="56" xfId="2" applyFont="1" applyFill="1" applyBorder="1" applyAlignment="1">
      <alignment horizontal="center" vertical="center"/>
    </xf>
    <xf numFmtId="0" fontId="8" fillId="10" borderId="48" xfId="2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8" fillId="10" borderId="47" xfId="2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Border="1" applyAlignment="1">
      <alignment horizontal="left" vertical="center"/>
    </xf>
    <xf numFmtId="0" fontId="7" fillId="14" borderId="9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7" fillId="13" borderId="50" xfId="0" applyFont="1" applyFill="1" applyBorder="1" applyAlignment="1">
      <alignment horizontal="center" vertical="center" wrapText="1"/>
    </xf>
    <xf numFmtId="0" fontId="27" fillId="13" borderId="0" xfId="0" applyFont="1" applyFill="1" applyBorder="1" applyAlignment="1">
      <alignment horizontal="center" vertical="center" wrapText="1"/>
    </xf>
    <xf numFmtId="0" fontId="9" fillId="17" borderId="56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7" fillId="13" borderId="46" xfId="0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 wrapText="1"/>
    </xf>
    <xf numFmtId="0" fontId="19" fillId="0" borderId="50" xfId="4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center" vertical="center" wrapText="1"/>
    </xf>
    <xf numFmtId="0" fontId="19" fillId="16" borderId="50" xfId="0" applyFont="1" applyFill="1" applyBorder="1" applyAlignment="1">
      <alignment horizontal="center" vertical="center"/>
    </xf>
    <xf numFmtId="0" fontId="19" fillId="16" borderId="0" xfId="4" applyFont="1" applyFill="1" applyBorder="1" applyAlignment="1">
      <alignment horizontal="center" vertical="center" wrapText="1"/>
    </xf>
    <xf numFmtId="10" fontId="19" fillId="0" borderId="0" xfId="4" applyNumberFormat="1" applyFont="1" applyFill="1" applyBorder="1" applyAlignment="1">
      <alignment horizontal="center" vertical="center" wrapText="1"/>
    </xf>
    <xf numFmtId="10" fontId="19" fillId="16" borderId="0" xfId="4" applyNumberFormat="1" applyFont="1" applyFill="1" applyBorder="1" applyAlignment="1">
      <alignment horizontal="center" vertical="center" wrapText="1"/>
    </xf>
    <xf numFmtId="0" fontId="19" fillId="16" borderId="0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center" vertical="center" wrapText="1"/>
    </xf>
    <xf numFmtId="0" fontId="27" fillId="10" borderId="50" xfId="0" applyFont="1" applyFill="1" applyBorder="1" applyAlignment="1">
      <alignment horizontal="center" vertical="center" wrapText="1"/>
    </xf>
    <xf numFmtId="10" fontId="19" fillId="16" borderId="50" xfId="4" applyNumberFormat="1" applyFont="1" applyFill="1" applyBorder="1" applyAlignment="1">
      <alignment horizontal="center" vertical="center" wrapText="1"/>
    </xf>
    <xf numFmtId="10" fontId="19" fillId="0" borderId="50" xfId="4" applyNumberFormat="1" applyFont="1" applyFill="1" applyBorder="1" applyAlignment="1">
      <alignment horizontal="center" vertical="center" wrapText="1"/>
    </xf>
    <xf numFmtId="0" fontId="19" fillId="16" borderId="50" xfId="4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center"/>
    </xf>
    <xf numFmtId="0" fontId="9" fillId="0" borderId="4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22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2" fontId="9" fillId="0" borderId="56" xfId="2" applyNumberFormat="1" applyFont="1" applyBorder="1" applyAlignment="1">
      <alignment horizontal="center" vertical="center"/>
    </xf>
    <xf numFmtId="2" fontId="9" fillId="0" borderId="66" xfId="2" applyNumberFormat="1" applyFont="1" applyBorder="1" applyAlignment="1">
      <alignment horizontal="center" vertical="center"/>
    </xf>
    <xf numFmtId="2" fontId="9" fillId="0" borderId="13" xfId="2" applyNumberFormat="1" applyFont="1" applyBorder="1" applyAlignment="1">
      <alignment horizontal="center" vertical="center"/>
    </xf>
    <xf numFmtId="2" fontId="9" fillId="0" borderId="67" xfId="2" applyNumberFormat="1" applyFont="1" applyBorder="1" applyAlignment="1">
      <alignment horizontal="center" vertical="center"/>
    </xf>
    <xf numFmtId="10" fontId="7" fillId="14" borderId="0" xfId="3" applyNumberFormat="1" applyFont="1" applyFill="1" applyBorder="1" applyAlignment="1">
      <alignment horizontal="center" vertical="center" wrapText="1"/>
    </xf>
    <xf numFmtId="10" fontId="9" fillId="4" borderId="9" xfId="1" applyNumberFormat="1" applyFont="1" applyFill="1" applyBorder="1" applyAlignment="1">
      <alignment horizontal="center" vertical="center" wrapText="1"/>
    </xf>
    <xf numFmtId="10" fontId="9" fillId="0" borderId="50" xfId="3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top" wrapText="1"/>
    </xf>
    <xf numFmtId="0" fontId="7" fillId="14" borderId="0" xfId="0" applyFont="1" applyFill="1" applyBorder="1" applyAlignment="1">
      <alignment horizontal="center" vertical="center" wrapText="1"/>
    </xf>
    <xf numFmtId="0" fontId="27" fillId="10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3" fontId="9" fillId="0" borderId="50" xfId="0" applyNumberFormat="1" applyFont="1" applyFill="1" applyBorder="1" applyAlignment="1">
      <alignment horizontal="center" vertical="center" wrapText="1"/>
    </xf>
    <xf numFmtId="0" fontId="9" fillId="0" borderId="50" xfId="0" applyNumberFormat="1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top" wrapText="1"/>
    </xf>
    <xf numFmtId="3" fontId="9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3" fontId="7" fillId="14" borderId="0" xfId="0" applyNumberFormat="1" applyFont="1" applyFill="1" applyBorder="1" applyAlignment="1">
      <alignment horizontal="center" vertical="center" wrapText="1"/>
    </xf>
    <xf numFmtId="4" fontId="9" fillId="0" borderId="50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/>
    </xf>
    <xf numFmtId="4" fontId="7" fillId="14" borderId="0" xfId="0" applyNumberFormat="1" applyFont="1" applyFill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7" fillId="15" borderId="0" xfId="0" applyFont="1" applyFill="1" applyBorder="1" applyAlignment="1">
      <alignment horizontal="left" vertical="center" wrapText="1"/>
    </xf>
    <xf numFmtId="0" fontId="19" fillId="0" borderId="2" xfId="4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19" fillId="0" borderId="9" xfId="4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7" fillId="10" borderId="9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/>
    </xf>
    <xf numFmtId="0" fontId="8" fillId="13" borderId="0" xfId="0" applyFont="1" applyFill="1" applyBorder="1" applyAlignment="1">
      <alignment horizontal="left" vertical="center"/>
    </xf>
    <xf numFmtId="0" fontId="8" fillId="13" borderId="9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left" vertical="center" wrapText="1"/>
    </xf>
    <xf numFmtId="0" fontId="27" fillId="10" borderId="30" xfId="0" applyFont="1" applyFill="1" applyBorder="1" applyAlignment="1">
      <alignment horizontal="left" vertical="center" wrapText="1"/>
    </xf>
    <xf numFmtId="0" fontId="9" fillId="17" borderId="50" xfId="0" applyFont="1" applyFill="1" applyBorder="1" applyAlignment="1">
      <alignment horizontal="left" vertical="center" wrapText="1"/>
    </xf>
    <xf numFmtId="0" fontId="9" fillId="17" borderId="48" xfId="0" applyFont="1" applyFill="1" applyBorder="1" applyAlignment="1">
      <alignment horizontal="left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8" fillId="13" borderId="47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horizontal="center" vertical="center" wrapText="1"/>
    </xf>
    <xf numFmtId="0" fontId="9" fillId="17" borderId="9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34" fillId="22" borderId="9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6" fillId="10" borderId="9" xfId="0" applyFont="1" applyFill="1" applyBorder="1" applyAlignment="1">
      <alignment horizontal="center" vertical="center" wrapText="1"/>
    </xf>
    <xf numFmtId="0" fontId="8" fillId="10" borderId="4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 wrapText="1"/>
    </xf>
    <xf numFmtId="0" fontId="7" fillId="18" borderId="30" xfId="0" applyFont="1" applyFill="1" applyBorder="1" applyAlignment="1">
      <alignment horizontal="center" vertical="center" wrapText="1"/>
    </xf>
    <xf numFmtId="0" fontId="22" fillId="17" borderId="50" xfId="0" applyFont="1" applyFill="1" applyBorder="1" applyAlignment="1">
      <alignment horizontal="left" vertical="center" wrapText="1"/>
    </xf>
    <xf numFmtId="2" fontId="19" fillId="0" borderId="50" xfId="4" applyNumberFormat="1" applyFont="1" applyFill="1" applyBorder="1" applyAlignment="1">
      <alignment horizontal="center" vertical="center"/>
    </xf>
    <xf numFmtId="0" fontId="22" fillId="17" borderId="5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26" fillId="17" borderId="47" xfId="0" applyFont="1" applyFill="1" applyBorder="1" applyAlignment="1">
      <alignment horizontal="center" vertical="center" wrapText="1"/>
    </xf>
    <xf numFmtId="0" fontId="26" fillId="17" borderId="9" xfId="0" applyFont="1" applyFill="1" applyBorder="1" applyAlignment="1">
      <alignment horizontal="center" vertical="center" wrapText="1"/>
    </xf>
    <xf numFmtId="0" fontId="27" fillId="0" borderId="47" xfId="4" applyFont="1" applyFill="1" applyBorder="1" applyAlignment="1">
      <alignment horizontal="center" vertical="center"/>
    </xf>
    <xf numFmtId="0" fontId="27" fillId="0" borderId="9" xfId="4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17" borderId="47" xfId="0" applyFont="1" applyFill="1" applyBorder="1" applyAlignment="1">
      <alignment horizontal="left" vertical="center" wrapText="1"/>
    </xf>
    <xf numFmtId="0" fontId="9" fillId="17" borderId="9" xfId="0" applyFont="1" applyFill="1" applyBorder="1" applyAlignment="1">
      <alignment horizontal="left" vertical="center" wrapText="1"/>
    </xf>
    <xf numFmtId="2" fontId="27" fillId="0" borderId="9" xfId="4" applyNumberFormat="1" applyFont="1" applyFill="1" applyBorder="1" applyAlignment="1">
      <alignment horizontal="center" vertical="center"/>
    </xf>
    <xf numFmtId="2" fontId="27" fillId="0" borderId="53" xfId="4" applyNumberFormat="1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65" fontId="9" fillId="0" borderId="47" xfId="0" applyNumberFormat="1" applyFont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8" fillId="10" borderId="5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56" xfId="0" applyNumberFormat="1" applyFont="1" applyBorder="1" applyAlignment="1">
      <alignment horizontal="center" vertical="center"/>
    </xf>
    <xf numFmtId="164" fontId="22" fillId="0" borderId="50" xfId="0" applyNumberFormat="1" applyFont="1" applyBorder="1" applyAlignment="1">
      <alignment horizontal="center" vertical="center"/>
    </xf>
    <xf numFmtId="0" fontId="26" fillId="17" borderId="50" xfId="0" applyFont="1" applyFill="1" applyBorder="1" applyAlignment="1">
      <alignment horizontal="center" vertical="center"/>
    </xf>
    <xf numFmtId="0" fontId="8" fillId="17" borderId="56" xfId="0" applyFont="1" applyFill="1" applyBorder="1" applyAlignment="1">
      <alignment horizontal="center"/>
    </xf>
    <xf numFmtId="0" fontId="22" fillId="0" borderId="56" xfId="0" applyFont="1" applyFill="1" applyBorder="1" applyAlignment="1">
      <alignment horizontal="center" vertical="center"/>
    </xf>
    <xf numFmtId="9" fontId="22" fillId="0" borderId="56" xfId="0" applyNumberFormat="1" applyFont="1" applyBorder="1" applyAlignment="1">
      <alignment horizontal="center" vertical="center"/>
    </xf>
    <xf numFmtId="9" fontId="22" fillId="0" borderId="50" xfId="0" applyNumberFormat="1" applyFont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27" fillId="0" borderId="69" xfId="4" applyFont="1" applyFill="1" applyBorder="1" applyAlignment="1">
      <alignment horizontal="center" vertical="center"/>
    </xf>
    <xf numFmtId="0" fontId="27" fillId="0" borderId="53" xfId="4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2" fontId="19" fillId="0" borderId="50" xfId="4" applyNumberFormat="1" applyFont="1" applyFill="1" applyBorder="1" applyAlignment="1">
      <alignment horizontal="center" vertical="center" wrapText="1"/>
    </xf>
    <xf numFmtId="2" fontId="19" fillId="0" borderId="56" xfId="4" applyNumberFormat="1" applyFont="1" applyFill="1" applyBorder="1" applyAlignment="1">
      <alignment horizontal="center" vertical="center"/>
    </xf>
    <xf numFmtId="0" fontId="7" fillId="18" borderId="31" xfId="0" applyFont="1" applyFill="1" applyBorder="1" applyAlignment="1">
      <alignment horizontal="center" vertical="center" wrapText="1"/>
    </xf>
    <xf numFmtId="0" fontId="19" fillId="0" borderId="12" xfId="4" applyNumberFormat="1" applyFont="1" applyFill="1" applyBorder="1" applyAlignment="1">
      <alignment horizontal="center" vertical="center" wrapText="1"/>
    </xf>
    <xf numFmtId="10" fontId="19" fillId="0" borderId="12" xfId="1" applyNumberFormat="1" applyFont="1" applyFill="1" applyBorder="1" applyAlignment="1">
      <alignment horizontal="center" vertical="center" wrapText="1"/>
    </xf>
    <xf numFmtId="0" fontId="34" fillId="12" borderId="44" xfId="0" applyFont="1" applyFill="1" applyBorder="1" applyAlignment="1">
      <alignment horizontal="left"/>
    </xf>
    <xf numFmtId="0" fontId="34" fillId="12" borderId="0" xfId="0" applyFont="1" applyFill="1" applyBorder="1" applyAlignment="1">
      <alignment horizontal="left"/>
    </xf>
    <xf numFmtId="0" fontId="7" fillId="18" borderId="44" xfId="0" applyFont="1" applyFill="1" applyBorder="1" applyAlignment="1">
      <alignment horizontal="center" vertical="center" wrapText="1"/>
    </xf>
    <xf numFmtId="0" fontId="7" fillId="18" borderId="0" xfId="0" applyFont="1" applyFill="1" applyBorder="1" applyAlignment="1">
      <alignment horizontal="center" vertical="center" wrapText="1"/>
    </xf>
    <xf numFmtId="0" fontId="34" fillId="15" borderId="44" xfId="0" applyFont="1" applyFill="1" applyBorder="1" applyAlignment="1">
      <alignment horizontal="left" vertical="center" wrapText="1"/>
    </xf>
    <xf numFmtId="0" fontId="34" fillId="15" borderId="0" xfId="0" applyFont="1" applyFill="1" applyBorder="1" applyAlignment="1">
      <alignment horizontal="left" vertical="center" wrapText="1"/>
    </xf>
    <xf numFmtId="0" fontId="26" fillId="17" borderId="50" xfId="0" applyFont="1" applyFill="1" applyBorder="1" applyAlignment="1">
      <alignment horizontal="left" vertical="center" wrapText="1"/>
    </xf>
    <xf numFmtId="0" fontId="26" fillId="17" borderId="9" xfId="0" applyFont="1" applyFill="1" applyBorder="1" applyAlignment="1">
      <alignment horizontal="left" vertical="center" wrapText="1"/>
    </xf>
    <xf numFmtId="0" fontId="22" fillId="17" borderId="9" xfId="0" applyFont="1" applyFill="1" applyBorder="1" applyAlignment="1">
      <alignment horizontal="left" vertical="center" wrapText="1"/>
    </xf>
    <xf numFmtId="0" fontId="7" fillId="15" borderId="0" xfId="0" applyFont="1" applyFill="1" applyBorder="1" applyAlignment="1">
      <alignment horizontal="left" vertical="center"/>
    </xf>
    <xf numFmtId="0" fontId="34" fillId="22" borderId="50" xfId="0" applyFont="1" applyFill="1" applyBorder="1" applyAlignment="1">
      <alignment horizontal="center" vertical="center"/>
    </xf>
    <xf numFmtId="0" fontId="34" fillId="22" borderId="0" xfId="0" applyFont="1" applyFill="1" applyBorder="1" applyAlignment="1">
      <alignment horizontal="center" vertical="center"/>
    </xf>
    <xf numFmtId="0" fontId="19" fillId="0" borderId="47" xfId="4" applyNumberFormat="1" applyFont="1" applyFill="1" applyBorder="1" applyAlignment="1">
      <alignment horizontal="center" vertical="center"/>
    </xf>
    <xf numFmtId="0" fontId="22" fillId="17" borderId="12" xfId="0" applyFont="1" applyFill="1" applyBorder="1" applyAlignment="1">
      <alignment horizontal="left" vertical="center" wrapText="1"/>
    </xf>
    <xf numFmtId="0" fontId="19" fillId="0" borderId="12" xfId="4" applyNumberFormat="1" applyFont="1" applyFill="1" applyBorder="1" applyAlignment="1">
      <alignment horizontal="center" vertical="center"/>
    </xf>
    <xf numFmtId="0" fontId="22" fillId="17" borderId="67" xfId="0" applyFont="1" applyFill="1" applyBorder="1" applyAlignment="1">
      <alignment horizontal="left" vertical="center" wrapText="1"/>
    </xf>
    <xf numFmtId="0" fontId="19" fillId="0" borderId="67" xfId="4" applyNumberFormat="1" applyFont="1" applyFill="1" applyBorder="1" applyAlignment="1">
      <alignment horizontal="center" vertical="center"/>
    </xf>
    <xf numFmtId="0" fontId="19" fillId="0" borderId="50" xfId="4" applyNumberFormat="1" applyFont="1" applyFill="1" applyBorder="1" applyAlignment="1">
      <alignment horizontal="center" vertical="center"/>
    </xf>
    <xf numFmtId="0" fontId="7" fillId="15" borderId="44" xfId="0" applyFont="1" applyFill="1" applyBorder="1" applyAlignment="1">
      <alignment horizontal="left" vertical="center" wrapText="1"/>
    </xf>
    <xf numFmtId="0" fontId="22" fillId="17" borderId="48" xfId="0" applyFont="1" applyFill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/>
    </xf>
    <xf numFmtId="10" fontId="22" fillId="0" borderId="56" xfId="1" applyNumberFormat="1" applyFont="1" applyFill="1" applyBorder="1" applyAlignment="1">
      <alignment horizontal="center"/>
    </xf>
    <xf numFmtId="10" fontId="22" fillId="0" borderId="68" xfId="1" applyNumberFormat="1" applyFont="1" applyFill="1" applyBorder="1" applyAlignment="1">
      <alignment horizontal="center"/>
    </xf>
    <xf numFmtId="2" fontId="19" fillId="0" borderId="9" xfId="4" applyNumberFormat="1" applyFont="1" applyFill="1" applyBorder="1" applyAlignment="1">
      <alignment horizontal="center" vertical="center"/>
    </xf>
    <xf numFmtId="2" fontId="19" fillId="0" borderId="68" xfId="4" applyNumberFormat="1" applyFont="1" applyFill="1" applyBorder="1" applyAlignment="1">
      <alignment horizontal="center" vertical="center"/>
    </xf>
    <xf numFmtId="0" fontId="9" fillId="17" borderId="68" xfId="0" applyFont="1" applyFill="1" applyBorder="1" applyAlignment="1">
      <alignment horizontal="left" vertical="center" wrapText="1"/>
    </xf>
    <xf numFmtId="0" fontId="9" fillId="17" borderId="12" xfId="0" applyFont="1" applyFill="1" applyBorder="1" applyAlignment="1">
      <alignment horizontal="left" vertical="center" wrapText="1"/>
    </xf>
    <xf numFmtId="2" fontId="19" fillId="0" borderId="47" xfId="4" applyNumberFormat="1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26" fillId="9" borderId="9" xfId="0" applyFont="1" applyFill="1" applyBorder="1" applyAlignment="1">
      <alignment horizontal="center" vertical="center" wrapText="1"/>
    </xf>
    <xf numFmtId="0" fontId="26" fillId="9" borderId="10" xfId="0" applyFont="1" applyFill="1" applyBorder="1" applyAlignment="1">
      <alignment horizontal="center" vertical="center" wrapText="1"/>
    </xf>
    <xf numFmtId="2" fontId="19" fillId="0" borderId="48" xfId="4" applyNumberFormat="1" applyFont="1" applyFill="1" applyBorder="1" applyAlignment="1">
      <alignment horizontal="center" vertical="center"/>
    </xf>
    <xf numFmtId="0" fontId="22" fillId="17" borderId="0" xfId="0" applyFont="1" applyFill="1" applyBorder="1" applyAlignment="1">
      <alignment horizontal="left" vertical="center" wrapText="1"/>
    </xf>
    <xf numFmtId="2" fontId="19" fillId="0" borderId="46" xfId="4" applyNumberFormat="1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left" vertical="center" wrapText="1"/>
    </xf>
    <xf numFmtId="2" fontId="7" fillId="14" borderId="9" xfId="0" applyNumberFormat="1" applyFont="1" applyFill="1" applyBorder="1" applyAlignment="1">
      <alignment horizontal="center" vertical="center" wrapText="1"/>
    </xf>
    <xf numFmtId="0" fontId="7" fillId="12" borderId="0" xfId="0" applyFont="1" applyFill="1" applyBorder="1" applyAlignment="1">
      <alignment horizontal="left" vertical="center" wrapText="1"/>
    </xf>
    <xf numFmtId="2" fontId="19" fillId="0" borderId="0" xfId="4" applyNumberFormat="1" applyFont="1" applyFill="1" applyBorder="1" applyAlignment="1">
      <alignment horizontal="center" vertical="center"/>
    </xf>
    <xf numFmtId="0" fontId="22" fillId="0" borderId="46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2" fillId="17" borderId="0" xfId="0" applyFont="1" applyFill="1" applyBorder="1" applyAlignment="1">
      <alignment horizontal="center" vertical="center" wrapText="1"/>
    </xf>
    <xf numFmtId="0" fontId="22" fillId="17" borderId="50" xfId="0" applyFont="1" applyFill="1" applyBorder="1" applyAlignment="1">
      <alignment horizontal="center" vertical="center" wrapText="1"/>
    </xf>
    <xf numFmtId="0" fontId="9" fillId="17" borderId="4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9" fillId="17" borderId="0" xfId="0" applyFont="1" applyFill="1" applyBorder="1" applyAlignment="1">
      <alignment horizontal="center" vertical="center" wrapText="1"/>
    </xf>
    <xf numFmtId="0" fontId="9" fillId="17" borderId="50" xfId="0" applyFont="1" applyFill="1" applyBorder="1" applyAlignment="1">
      <alignment horizontal="center" vertical="center" wrapText="1"/>
    </xf>
    <xf numFmtId="0" fontId="34" fillId="22" borderId="9" xfId="0" applyFont="1" applyFill="1" applyBorder="1" applyAlignment="1">
      <alignment horizontal="center"/>
    </xf>
    <xf numFmtId="0" fontId="27" fillId="0" borderId="50" xfId="0" applyFont="1" applyBorder="1" applyAlignment="1">
      <alignment horizontal="center" vertical="center"/>
    </xf>
    <xf numFmtId="0" fontId="22" fillId="17" borderId="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34" fillId="22" borderId="9" xfId="0" applyFont="1" applyFill="1" applyBorder="1" applyAlignment="1">
      <alignment horizontal="left"/>
    </xf>
    <xf numFmtId="0" fontId="34" fillId="12" borderId="0" xfId="0" applyFont="1" applyFill="1" applyBorder="1" applyAlignment="1">
      <alignment horizontal="left" vertical="center"/>
    </xf>
    <xf numFmtId="0" fontId="22" fillId="0" borderId="50" xfId="0" applyFont="1" applyBorder="1" applyAlignment="1">
      <alignment horizontal="center"/>
    </xf>
    <xf numFmtId="0" fontId="22" fillId="17" borderId="0" xfId="0" applyFont="1" applyFill="1" applyBorder="1" applyAlignment="1">
      <alignment horizontal="center"/>
    </xf>
    <xf numFmtId="0" fontId="22" fillId="17" borderId="50" xfId="0" applyFont="1" applyFill="1" applyBorder="1" applyAlignment="1">
      <alignment horizontal="center"/>
    </xf>
    <xf numFmtId="0" fontId="22" fillId="0" borderId="10" xfId="0" applyFont="1" applyBorder="1" applyAlignment="1">
      <alignment horizontal="left" vertical="center" wrapText="1"/>
    </xf>
    <xf numFmtId="0" fontId="26" fillId="9" borderId="10" xfId="0" applyFont="1" applyFill="1" applyBorder="1" applyAlignment="1">
      <alignment horizontal="center" vertical="center"/>
    </xf>
    <xf numFmtId="0" fontId="26" fillId="9" borderId="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23" borderId="14" xfId="2" applyFont="1" applyFill="1" applyBorder="1" applyAlignment="1">
      <alignment horizontal="center" wrapText="1"/>
    </xf>
    <xf numFmtId="0" fontId="26" fillId="23" borderId="15" xfId="2" applyFont="1" applyFill="1" applyBorder="1" applyAlignment="1">
      <alignment horizontal="center" wrapText="1"/>
    </xf>
    <xf numFmtId="0" fontId="26" fillId="23" borderId="16" xfId="2" applyFont="1" applyFill="1" applyBorder="1" applyAlignment="1">
      <alignment horizontal="center" wrapText="1"/>
    </xf>
    <xf numFmtId="0" fontId="26" fillId="23" borderId="14" xfId="0" applyFont="1" applyFill="1" applyBorder="1" applyAlignment="1">
      <alignment horizontal="center" wrapText="1"/>
    </xf>
    <xf numFmtId="0" fontId="26" fillId="23" borderId="15" xfId="0" applyFont="1" applyFill="1" applyBorder="1" applyAlignment="1">
      <alignment horizontal="center" wrapText="1"/>
    </xf>
    <xf numFmtId="0" fontId="26" fillId="23" borderId="16" xfId="0" applyFont="1" applyFill="1" applyBorder="1" applyAlignment="1">
      <alignment horizontal="center" wrapText="1"/>
    </xf>
    <xf numFmtId="0" fontId="26" fillId="23" borderId="20" xfId="0" applyFont="1" applyFill="1" applyBorder="1" applyAlignment="1">
      <alignment horizontal="center" wrapText="1"/>
    </xf>
    <xf numFmtId="0" fontId="26" fillId="23" borderId="10" xfId="0" applyFont="1" applyFill="1" applyBorder="1" applyAlignment="1">
      <alignment horizontal="center" wrapText="1"/>
    </xf>
    <xf numFmtId="0" fontId="26" fillId="23" borderId="21" xfId="0" applyFont="1" applyFill="1" applyBorder="1" applyAlignment="1">
      <alignment horizontal="center" wrapText="1"/>
    </xf>
    <xf numFmtId="0" fontId="34" fillId="12" borderId="0" xfId="2" applyFont="1" applyFill="1" applyBorder="1" applyAlignment="1">
      <alignment horizontal="left" vertical="center" wrapText="1"/>
    </xf>
    <xf numFmtId="0" fontId="34" fillId="12" borderId="0" xfId="2" applyFont="1" applyFill="1" applyBorder="1" applyAlignment="1">
      <alignment horizontal="left" vertical="center" wrapText="1"/>
    </xf>
    <xf numFmtId="0" fontId="34" fillId="12" borderId="0" xfId="2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10" fontId="9" fillId="0" borderId="47" xfId="1" applyNumberFormat="1" applyFont="1" applyFill="1" applyBorder="1" applyAlignment="1">
      <alignment horizontal="center" vertical="center" wrapText="1"/>
    </xf>
  </cellXfs>
  <cellStyles count="10">
    <cellStyle name="Bueno" xfId="4" builtinId="26"/>
    <cellStyle name="Hipervínculo" xfId="5" builtinId="8"/>
    <cellStyle name="Normal" xfId="0" builtinId="0"/>
    <cellStyle name="Normal 2" xfId="6" xr:uid="{AC63FA65-B5FB-486F-81DE-D6FE2DD0C132}"/>
    <cellStyle name="Normal 2 2" xfId="2" xr:uid="{0F66DF78-9A64-4358-A7DA-D749DD8949D5}"/>
    <cellStyle name="Normal_Fisioteràpia" xfId="8" xr:uid="{5EEA3E91-7244-4972-87ED-D72F6D22AFDB}"/>
    <cellStyle name="Normal_Hoja1" xfId="7" xr:uid="{E068CFC4-6D5D-47DA-A59C-1A903F737CF6}"/>
    <cellStyle name="Normal_Hoja1_1" xfId="9" xr:uid="{592EB029-E8D6-4E31-A065-F13C83B23002}"/>
    <cellStyle name="Porcentaje" xfId="1" builtinId="5"/>
    <cellStyle name="Porcentaje 2" xfId="3" xr:uid="{2252324C-9B13-4576-B578-6DFD21CC8807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20778C"/>
      <color rgb="FF2898B2"/>
      <color rgb="FF4AB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50" b="1">
                <a:latin typeface="Verdana" panose="020B0604030504040204" pitchFamily="34" charset="0"/>
                <a:ea typeface="Verdana" panose="020B0604030504040204" pitchFamily="34" charset="0"/>
              </a:rPr>
              <a:t>Taxa d'ocupació dels graduats (en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'Estàndard 6'!$C$702</c:f>
              <c:strCache>
                <c:ptCount val="1"/>
                <c:pt idx="0">
                  <c:v>Aturat/da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'Estàndard 6'!$B$703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6'!$C$703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0-4014-8748-DB4FCA2F6893}"/>
            </c:ext>
          </c:extLst>
        </c:ser>
        <c:ser>
          <c:idx val="1"/>
          <c:order val="1"/>
          <c:tx>
            <c:strRef>
              <c:f>'Estàndard 6'!$E$702</c:f>
              <c:strCache>
                <c:ptCount val="1"/>
                <c:pt idx="0">
                  <c:v>Inactiu/va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'Estàndard 6'!$B$703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6'!$E$703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0-4014-8748-DB4FCA2F6893}"/>
            </c:ext>
          </c:extLst>
        </c:ser>
        <c:ser>
          <c:idx val="2"/>
          <c:order val="2"/>
          <c:tx>
            <c:strRef>
              <c:f>'Estàndard 6'!$G$702</c:f>
              <c:strCache>
                <c:ptCount val="1"/>
                <c:pt idx="0">
                  <c:v>Ocupat/ada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'Estàndard 6'!$B$703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6'!$G$703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0-4014-8748-DB4FCA2F6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820831"/>
        <c:axId val="145836639"/>
      </c:barChart>
      <c:catAx>
        <c:axId val="14582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36639"/>
        <c:crosses val="autoZero"/>
        <c:auto val="1"/>
        <c:lblAlgn val="ctr"/>
        <c:lblOffset val="100"/>
        <c:noMultiLvlLbl val="0"/>
      </c:catAx>
      <c:valAx>
        <c:axId val="1458366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2083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50" b="1">
                <a:latin typeface="Verdana" panose="020B0604030504040204" pitchFamily="34" charset="0"/>
                <a:ea typeface="Verdana" panose="020B0604030504040204" pitchFamily="34" charset="0"/>
              </a:rPr>
              <a:t>Graduats amb una feina relacionada amb el que han estudiat (en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'Estàndard 6'!$I$702</c:f>
              <c:strCache>
                <c:ptCount val="1"/>
                <c:pt idx="0">
                  <c:v>Funcions específiques de la titulació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'Estàndard 6'!$B$703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6'!$I$703</c:f>
              <c:numCache>
                <c:formatCode>0.00%</c:formatCode>
                <c:ptCount val="1"/>
                <c:pt idx="0">
                  <c:v>0.42899999999999999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0-48B0-82BA-E8F031391D5E}"/>
            </c:ext>
          </c:extLst>
        </c:ser>
        <c:ser>
          <c:idx val="1"/>
          <c:order val="1"/>
          <c:tx>
            <c:strRef>
              <c:f>'Estàndard 6'!$K$702</c:f>
              <c:strCache>
                <c:ptCount val="1"/>
                <c:pt idx="0">
                  <c:v>Funcions no universitàries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'Estàndard 6'!$B$703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6'!$K$703</c:f>
              <c:numCache>
                <c:formatCode>0.00%</c:formatCode>
                <c:ptCount val="1"/>
                <c:pt idx="0">
                  <c:v>0.28599999999999998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0-48B0-82BA-E8F031391D5E}"/>
            </c:ext>
          </c:extLst>
        </c:ser>
        <c:ser>
          <c:idx val="2"/>
          <c:order val="2"/>
          <c:tx>
            <c:strRef>
              <c:f>'Estàndard 6'!$M$702</c:f>
              <c:strCache>
                <c:ptCount val="1"/>
                <c:pt idx="0">
                  <c:v>Funcions universitàries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'Estàndard 6'!$B$703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6'!$M$703</c:f>
              <c:numCache>
                <c:formatCode>0.00%</c:formatCode>
                <c:ptCount val="1"/>
                <c:pt idx="0">
                  <c:v>0.28599999999999998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0-48B0-82BA-E8F031391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820831"/>
        <c:axId val="145836639"/>
      </c:barChart>
      <c:catAx>
        <c:axId val="14582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36639"/>
        <c:crosses val="autoZero"/>
        <c:auto val="1"/>
        <c:lblAlgn val="ctr"/>
        <c:lblOffset val="100"/>
        <c:noMultiLvlLbl val="0"/>
      </c:catAx>
      <c:valAx>
        <c:axId val="1458366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2083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50" b="1">
                <a:latin typeface="Verdana" panose="020B0604030504040204" pitchFamily="34" charset="0"/>
                <a:ea typeface="Verdana" panose="020B0604030504040204" pitchFamily="34" charset="0"/>
              </a:rPr>
              <a:t>Taxa d'ocupació dels graduats (en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'Estàndard 6'!$C$725</c:f>
              <c:strCache>
                <c:ptCount val="1"/>
                <c:pt idx="0">
                  <c:v>Aturat/da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'Estàndard 6'!$B$726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6'!$C$726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188-9018-EF2E836EAD56}"/>
            </c:ext>
          </c:extLst>
        </c:ser>
        <c:ser>
          <c:idx val="1"/>
          <c:order val="1"/>
          <c:tx>
            <c:strRef>
              <c:f>'Estàndard 6'!$E$725</c:f>
              <c:strCache>
                <c:ptCount val="1"/>
                <c:pt idx="0">
                  <c:v>Inactiu/va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'Estàndard 6'!$B$726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6'!$E$726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188-9018-EF2E836EAD56}"/>
            </c:ext>
          </c:extLst>
        </c:ser>
        <c:ser>
          <c:idx val="2"/>
          <c:order val="2"/>
          <c:tx>
            <c:strRef>
              <c:f>'Estàndard 6'!$G$725</c:f>
              <c:strCache>
                <c:ptCount val="1"/>
                <c:pt idx="0">
                  <c:v>Ocupat/ada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'Estàndard 6'!$B$726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6'!$G$726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8-4188-9018-EF2E836E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820831"/>
        <c:axId val="145836639"/>
      </c:barChart>
      <c:catAx>
        <c:axId val="14582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36639"/>
        <c:crosses val="autoZero"/>
        <c:auto val="1"/>
        <c:lblAlgn val="ctr"/>
        <c:lblOffset val="100"/>
        <c:noMultiLvlLbl val="0"/>
      </c:catAx>
      <c:valAx>
        <c:axId val="1458366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2083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50" b="1">
                <a:latin typeface="Verdana" panose="020B0604030504040204" pitchFamily="34" charset="0"/>
                <a:ea typeface="Verdana" panose="020B0604030504040204" pitchFamily="34" charset="0"/>
              </a:rPr>
              <a:t>Graduats amb una feina relacionada amb el que han estudiat (en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'Estàndard 6'!$I$725</c:f>
              <c:strCache>
                <c:ptCount val="1"/>
                <c:pt idx="0">
                  <c:v>Funcions específiques de la titulació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'Estàndard 6'!$B$726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6'!$I$726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B-4A9D-ADF7-7E4BFD6CEBAE}"/>
            </c:ext>
          </c:extLst>
        </c:ser>
        <c:ser>
          <c:idx val="1"/>
          <c:order val="1"/>
          <c:tx>
            <c:strRef>
              <c:f>'Estàndard 6'!$K$725</c:f>
              <c:strCache>
                <c:ptCount val="1"/>
                <c:pt idx="0">
                  <c:v>Funcions no universitàries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'Estàndard 6'!$B$726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6'!$K$726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B-4A9D-ADF7-7E4BFD6CEBAE}"/>
            </c:ext>
          </c:extLst>
        </c:ser>
        <c:ser>
          <c:idx val="2"/>
          <c:order val="2"/>
          <c:tx>
            <c:strRef>
              <c:f>'Estàndard 6'!$M$725</c:f>
              <c:strCache>
                <c:ptCount val="1"/>
                <c:pt idx="0">
                  <c:v>Funcions universitàries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'Estàndard 6'!$B$726</c:f>
              <c:numCache>
                <c:formatCode>General</c:formatCode>
                <c:ptCount val="1"/>
                <c:pt idx="0">
                  <c:v>2020</c:v>
                </c:pt>
              </c:numCache>
            </c:numRef>
          </c:cat>
          <c:val>
            <c:numRef>
              <c:f>'Estàndard 6'!$M$726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B-4A9D-ADF7-7E4BFD6CE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820831"/>
        <c:axId val="145836639"/>
      </c:barChart>
      <c:catAx>
        <c:axId val="14582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36639"/>
        <c:crosses val="autoZero"/>
        <c:auto val="1"/>
        <c:lblAlgn val="ctr"/>
        <c:lblOffset val="100"/>
        <c:noMultiLvlLbl val="0"/>
      </c:catAx>
      <c:valAx>
        <c:axId val="14583663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2083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64773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695575" cy="82677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3</xdr:col>
      <xdr:colOff>428625</xdr:colOff>
      <xdr:row>4</xdr:row>
      <xdr:rowOff>93348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2695575" cy="82677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3</xdr:col>
      <xdr:colOff>485775</xdr:colOff>
      <xdr:row>4</xdr:row>
      <xdr:rowOff>93348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28575"/>
          <a:ext cx="2695575" cy="84582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3</xdr:col>
      <xdr:colOff>459051</xdr:colOff>
      <xdr:row>4</xdr:row>
      <xdr:rowOff>121923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76200"/>
          <a:ext cx="2687901" cy="807723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57150</xdr:rowOff>
        </xdr:from>
        <xdr:to>
          <xdr:col>3</xdr:col>
          <xdr:colOff>295275</xdr:colOff>
          <xdr:row>4</xdr:row>
          <xdr:rowOff>76200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95250</xdr:rowOff>
        </xdr:from>
        <xdr:to>
          <xdr:col>3</xdr:col>
          <xdr:colOff>266700</xdr:colOff>
          <xdr:row>4</xdr:row>
          <xdr:rowOff>104775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76200</xdr:rowOff>
        </xdr:from>
        <xdr:to>
          <xdr:col>3</xdr:col>
          <xdr:colOff>190500</xdr:colOff>
          <xdr:row>4</xdr:row>
          <xdr:rowOff>9525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338137</xdr:colOff>
      <xdr:row>704</xdr:row>
      <xdr:rowOff>90487</xdr:rowOff>
    </xdr:from>
    <xdr:to>
      <xdr:col>7</xdr:col>
      <xdr:colOff>438150</xdr:colOff>
      <xdr:row>720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161926</xdr:colOff>
      <xdr:row>704</xdr:row>
      <xdr:rowOff>76199</xdr:rowOff>
    </xdr:from>
    <xdr:to>
      <xdr:col>13</xdr:col>
      <xdr:colOff>619125</xdr:colOff>
      <xdr:row>720</xdr:row>
      <xdr:rowOff>123825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452437</xdr:colOff>
      <xdr:row>727</xdr:row>
      <xdr:rowOff>109537</xdr:rowOff>
    </xdr:from>
    <xdr:to>
      <xdr:col>7</xdr:col>
      <xdr:colOff>466725</xdr:colOff>
      <xdr:row>743</xdr:row>
      <xdr:rowOff>104775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171450</xdr:colOff>
      <xdr:row>727</xdr:row>
      <xdr:rowOff>95249</xdr:rowOff>
    </xdr:from>
    <xdr:to>
      <xdr:col>13</xdr:col>
      <xdr:colOff>609600</xdr:colOff>
      <xdr:row>743</xdr:row>
      <xdr:rowOff>142875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2</xdr:col>
      <xdr:colOff>1235075</xdr:colOff>
      <xdr:row>5</xdr:row>
      <xdr:rowOff>23112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23825"/>
          <a:ext cx="2286000" cy="70891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2</xdr:col>
      <xdr:colOff>1263650</xdr:colOff>
      <xdr:row>4</xdr:row>
      <xdr:rowOff>123825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23825"/>
          <a:ext cx="2139950" cy="647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FiE/Taules%20Est&#224;ndard%204%20(19%2020)%20CA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SIO/Taules%20Est&#224;ndards%204%20(19%2020)%20Fis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FiE/Taules%20Est&#224;ndard%206%20(19%2020)%20CAFE%20en%20proc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es St. 4 CAFE (19-20)"/>
      <sheetName val="Càlculs St. 4 CAFE (19-20)"/>
      <sheetName val="Càlculs"/>
    </sheetNames>
    <sheetDataSet>
      <sheetData sheetId="0"/>
      <sheetData sheetId="1">
        <row r="34">
          <cell r="E34">
            <v>9</v>
          </cell>
        </row>
        <row r="36">
          <cell r="E36">
            <v>0.32142857142857145</v>
          </cell>
        </row>
      </sheetData>
      <sheetData sheetId="2">
        <row r="41">
          <cell r="S41">
            <v>915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es Estàndard 4 (19-20)"/>
      <sheetName val="Hoja1"/>
      <sheetName val="Hoja2"/>
      <sheetName val="Calculs"/>
      <sheetName val="Hoja3"/>
    </sheetNames>
    <sheetDataSet>
      <sheetData sheetId="0" refreshError="1"/>
      <sheetData sheetId="1" refreshError="1"/>
      <sheetData sheetId="2">
        <row r="2">
          <cell r="Q2" t="str">
            <v>Etiquetas de fila</v>
          </cell>
          <cell r="R2" t="str">
            <v>Cuenta de Estudiant</v>
          </cell>
        </row>
        <row r="3">
          <cell r="Q3">
            <v>37204001</v>
          </cell>
          <cell r="R3">
            <v>93</v>
          </cell>
        </row>
        <row r="4">
          <cell r="Q4">
            <v>37204002</v>
          </cell>
          <cell r="R4">
            <v>62</v>
          </cell>
        </row>
        <row r="5">
          <cell r="Q5">
            <v>37204003</v>
          </cell>
          <cell r="R5">
            <v>91</v>
          </cell>
        </row>
        <row r="6">
          <cell r="Q6">
            <v>37204004</v>
          </cell>
          <cell r="R6">
            <v>100</v>
          </cell>
        </row>
        <row r="7">
          <cell r="Q7">
            <v>37204005</v>
          </cell>
          <cell r="R7">
            <v>80</v>
          </cell>
        </row>
        <row r="8">
          <cell r="Q8">
            <v>37204006</v>
          </cell>
          <cell r="R8">
            <v>70</v>
          </cell>
        </row>
        <row r="9">
          <cell r="Q9">
            <v>37204007</v>
          </cell>
          <cell r="R9">
            <v>66</v>
          </cell>
        </row>
        <row r="10">
          <cell r="Q10">
            <v>37204008</v>
          </cell>
          <cell r="R10">
            <v>47</v>
          </cell>
        </row>
        <row r="11">
          <cell r="Q11">
            <v>37204009</v>
          </cell>
          <cell r="R11">
            <v>47</v>
          </cell>
        </row>
        <row r="12">
          <cell r="Q12">
            <v>37204101</v>
          </cell>
          <cell r="R12">
            <v>53</v>
          </cell>
        </row>
        <row r="13">
          <cell r="Q13">
            <v>37204102</v>
          </cell>
          <cell r="R13">
            <v>64</v>
          </cell>
        </row>
        <row r="14">
          <cell r="Q14">
            <v>37204103</v>
          </cell>
          <cell r="R14">
            <v>66</v>
          </cell>
        </row>
        <row r="15">
          <cell r="Q15">
            <v>37204104</v>
          </cell>
          <cell r="R15">
            <v>59</v>
          </cell>
        </row>
        <row r="16">
          <cell r="Q16">
            <v>37204105</v>
          </cell>
          <cell r="R16">
            <v>54</v>
          </cell>
        </row>
        <row r="17">
          <cell r="Q17">
            <v>37204106</v>
          </cell>
          <cell r="R17">
            <v>56</v>
          </cell>
        </row>
        <row r="18">
          <cell r="Q18">
            <v>37204107</v>
          </cell>
          <cell r="R18">
            <v>66</v>
          </cell>
        </row>
        <row r="19">
          <cell r="Q19">
            <v>37204108</v>
          </cell>
          <cell r="R19">
            <v>53</v>
          </cell>
        </row>
        <row r="20">
          <cell r="Q20">
            <v>37204109</v>
          </cell>
          <cell r="R20">
            <v>13</v>
          </cell>
        </row>
        <row r="21">
          <cell r="Q21">
            <v>37204110</v>
          </cell>
          <cell r="R21">
            <v>60</v>
          </cell>
        </row>
        <row r="22">
          <cell r="Q22">
            <v>37204111</v>
          </cell>
          <cell r="R22">
            <v>75</v>
          </cell>
        </row>
        <row r="23">
          <cell r="Q23">
            <v>37204112</v>
          </cell>
          <cell r="R23">
            <v>67</v>
          </cell>
        </row>
        <row r="24">
          <cell r="Q24">
            <v>37204113</v>
          </cell>
          <cell r="R24">
            <v>50</v>
          </cell>
        </row>
        <row r="25">
          <cell r="Q25">
            <v>37204114</v>
          </cell>
          <cell r="R25">
            <v>45</v>
          </cell>
        </row>
        <row r="26">
          <cell r="Q26">
            <v>37204115</v>
          </cell>
          <cell r="R26">
            <v>52</v>
          </cell>
        </row>
        <row r="27">
          <cell r="Q27">
            <v>37204116</v>
          </cell>
          <cell r="R27">
            <v>42</v>
          </cell>
        </row>
        <row r="28">
          <cell r="Q28">
            <v>37204117</v>
          </cell>
          <cell r="R28">
            <v>51</v>
          </cell>
        </row>
        <row r="29">
          <cell r="Q29">
            <v>37204118</v>
          </cell>
          <cell r="R29">
            <v>44</v>
          </cell>
        </row>
        <row r="30">
          <cell r="Q30">
            <v>37204119</v>
          </cell>
          <cell r="R30">
            <v>52</v>
          </cell>
        </row>
        <row r="31">
          <cell r="Q31">
            <v>37204121</v>
          </cell>
          <cell r="R31">
            <v>55</v>
          </cell>
        </row>
        <row r="32">
          <cell r="Q32">
            <v>37204122</v>
          </cell>
          <cell r="R32">
            <v>61</v>
          </cell>
        </row>
        <row r="33">
          <cell r="Q33">
            <v>37204123</v>
          </cell>
          <cell r="R33">
            <v>64</v>
          </cell>
        </row>
        <row r="34">
          <cell r="Q34">
            <v>37204124</v>
          </cell>
          <cell r="R34">
            <v>49</v>
          </cell>
        </row>
        <row r="35">
          <cell r="Q35">
            <v>37204125</v>
          </cell>
          <cell r="R35">
            <v>44</v>
          </cell>
        </row>
        <row r="36">
          <cell r="Q36">
            <v>37204126</v>
          </cell>
          <cell r="R36">
            <v>55</v>
          </cell>
        </row>
        <row r="37">
          <cell r="Q37">
            <v>37204127</v>
          </cell>
          <cell r="R37">
            <v>29</v>
          </cell>
        </row>
        <row r="38">
          <cell r="Q38">
            <v>37204128</v>
          </cell>
          <cell r="R38">
            <v>30</v>
          </cell>
        </row>
        <row r="39">
          <cell r="Q39">
            <v>37204129</v>
          </cell>
          <cell r="R39">
            <v>29</v>
          </cell>
        </row>
        <row r="40">
          <cell r="Q40">
            <v>37204130</v>
          </cell>
          <cell r="R40">
            <v>29</v>
          </cell>
        </row>
        <row r="41">
          <cell r="Q41">
            <v>37204131</v>
          </cell>
          <cell r="R41">
            <v>30</v>
          </cell>
        </row>
        <row r="42">
          <cell r="Q42">
            <v>37204132</v>
          </cell>
          <cell r="R42">
            <v>63</v>
          </cell>
        </row>
        <row r="43">
          <cell r="Q43">
            <v>37204133</v>
          </cell>
          <cell r="R43">
            <v>54</v>
          </cell>
        </row>
        <row r="44">
          <cell r="Q44">
            <v>37204205</v>
          </cell>
          <cell r="R44">
            <v>30</v>
          </cell>
        </row>
        <row r="45">
          <cell r="Q45">
            <v>37204206</v>
          </cell>
          <cell r="R45">
            <v>18</v>
          </cell>
        </row>
        <row r="46">
          <cell r="Q46">
            <v>37204209</v>
          </cell>
          <cell r="R46">
            <v>43</v>
          </cell>
        </row>
        <row r="47">
          <cell r="Q47">
            <v>37204210</v>
          </cell>
          <cell r="R47">
            <v>37</v>
          </cell>
        </row>
        <row r="48">
          <cell r="Q48">
            <v>37204218</v>
          </cell>
          <cell r="R48">
            <v>11</v>
          </cell>
        </row>
        <row r="49">
          <cell r="Q49">
            <v>37204221</v>
          </cell>
          <cell r="R49">
            <v>21</v>
          </cell>
        </row>
        <row r="50">
          <cell r="Q50">
            <v>37204223</v>
          </cell>
          <cell r="R50">
            <v>32</v>
          </cell>
        </row>
        <row r="51">
          <cell r="Q51">
            <v>37204224</v>
          </cell>
          <cell r="R51">
            <v>20</v>
          </cell>
        </row>
        <row r="52">
          <cell r="Q52">
            <v>37204301</v>
          </cell>
          <cell r="R52">
            <v>61</v>
          </cell>
        </row>
        <row r="53">
          <cell r="Q53">
            <v>37204135</v>
          </cell>
          <cell r="R53">
            <v>51</v>
          </cell>
        </row>
        <row r="54">
          <cell r="Q54">
            <v>37204134</v>
          </cell>
          <cell r="R54">
            <v>50</v>
          </cell>
        </row>
        <row r="55">
          <cell r="Q55" t="str">
            <v>Total general</v>
          </cell>
          <cell r="R55">
            <v>2644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es St. 6 CAFiE (19-20)"/>
      <sheetName val="Taules St. 6 CAFiE enq.(19-20)"/>
      <sheetName val="Càlculs"/>
    </sheetNames>
    <sheetDataSet>
      <sheetData sheetId="0" refreshError="1"/>
      <sheetData sheetId="1" refreshError="1"/>
      <sheetData sheetId="2">
        <row r="1">
          <cell r="A1" t="str">
            <v>Nota</v>
          </cell>
          <cell r="B1">
            <v>37214001</v>
          </cell>
          <cell r="C1">
            <v>37214003</v>
          </cell>
          <cell r="D1">
            <v>37214004</v>
          </cell>
          <cell r="E1">
            <v>37214005</v>
          </cell>
          <cell r="F1">
            <v>37214008</v>
          </cell>
          <cell r="G1">
            <v>37214010</v>
          </cell>
          <cell r="H1">
            <v>37214101</v>
          </cell>
          <cell r="I1">
            <v>37214103</v>
          </cell>
          <cell r="J1">
            <v>37214109</v>
          </cell>
          <cell r="K1">
            <v>37214110</v>
          </cell>
          <cell r="L1">
            <v>37214111</v>
          </cell>
          <cell r="M1">
            <v>37214113</v>
          </cell>
          <cell r="N1">
            <v>37214115</v>
          </cell>
          <cell r="O1">
            <v>37214117</v>
          </cell>
          <cell r="P1">
            <v>37214119</v>
          </cell>
          <cell r="Q1">
            <v>37214120</v>
          </cell>
          <cell r="R1">
            <v>37214121</v>
          </cell>
          <cell r="S1">
            <v>37214201</v>
          </cell>
          <cell r="T1">
            <v>37214202</v>
          </cell>
          <cell r="U1">
            <v>37214203</v>
          </cell>
          <cell r="V1">
            <v>37214002</v>
          </cell>
          <cell r="W1">
            <v>37214006</v>
          </cell>
          <cell r="X1">
            <v>37214007</v>
          </cell>
          <cell r="Y1">
            <v>37214009</v>
          </cell>
          <cell r="Z1">
            <v>37214102</v>
          </cell>
          <cell r="AA1">
            <v>37214104</v>
          </cell>
          <cell r="AB1">
            <v>37214105</v>
          </cell>
          <cell r="AC1">
            <v>37214106</v>
          </cell>
          <cell r="AD1">
            <v>37214107</v>
          </cell>
          <cell r="AE1">
            <v>37214108</v>
          </cell>
          <cell r="AF1">
            <v>37214112</v>
          </cell>
          <cell r="AG1">
            <v>37214114</v>
          </cell>
          <cell r="AH1">
            <v>37214116</v>
          </cell>
          <cell r="AI1">
            <v>37214118</v>
          </cell>
          <cell r="AJ1">
            <v>37214301</v>
          </cell>
          <cell r="AK1">
            <v>37214401</v>
          </cell>
          <cell r="AL1" t="str">
            <v>Total general</v>
          </cell>
          <cell r="AM1"/>
        </row>
        <row r="2">
          <cell r="A2" t="str">
            <v>AP</v>
          </cell>
          <cell r="B2">
            <v>19</v>
          </cell>
          <cell r="C2">
            <v>7</v>
          </cell>
          <cell r="D2">
            <v>6</v>
          </cell>
          <cell r="E2">
            <v>22</v>
          </cell>
          <cell r="F2">
            <v>8</v>
          </cell>
          <cell r="G2">
            <v>20</v>
          </cell>
          <cell r="H2">
            <v>11</v>
          </cell>
          <cell r="J2">
            <v>9</v>
          </cell>
          <cell r="K2">
            <v>3</v>
          </cell>
          <cell r="L2">
            <v>9</v>
          </cell>
          <cell r="M2">
            <v>1</v>
          </cell>
          <cell r="N2">
            <v>5</v>
          </cell>
          <cell r="O2">
            <v>2</v>
          </cell>
          <cell r="P2">
            <v>4</v>
          </cell>
          <cell r="Q2">
            <v>6</v>
          </cell>
          <cell r="S2">
            <v>12</v>
          </cell>
          <cell r="T2">
            <v>2</v>
          </cell>
          <cell r="U2">
            <v>2</v>
          </cell>
          <cell r="V2">
            <v>25</v>
          </cell>
          <cell r="W2">
            <v>15</v>
          </cell>
          <cell r="X2">
            <v>12</v>
          </cell>
          <cell r="Y2">
            <v>1</v>
          </cell>
          <cell r="Z2">
            <v>13</v>
          </cell>
          <cell r="AA2">
            <v>7</v>
          </cell>
          <cell r="AB2">
            <v>3</v>
          </cell>
          <cell r="AC2">
            <v>23</v>
          </cell>
          <cell r="AD2">
            <v>4</v>
          </cell>
          <cell r="AE2">
            <v>9</v>
          </cell>
          <cell r="AF2">
            <v>12</v>
          </cell>
          <cell r="AH2">
            <v>6</v>
          </cell>
          <cell r="AI2">
            <v>2</v>
          </cell>
          <cell r="AJ2">
            <v>4</v>
          </cell>
          <cell r="AK2">
            <v>2</v>
          </cell>
          <cell r="AL2">
            <v>286</v>
          </cell>
          <cell r="AM2"/>
        </row>
        <row r="3">
          <cell r="A3" t="str">
            <v>EX</v>
          </cell>
          <cell r="B3">
            <v>1</v>
          </cell>
          <cell r="P3">
            <v>2</v>
          </cell>
          <cell r="R3">
            <v>2</v>
          </cell>
          <cell r="Y3">
            <v>3</v>
          </cell>
          <cell r="Z3">
            <v>7</v>
          </cell>
          <cell r="AB3">
            <v>2</v>
          </cell>
          <cell r="AF3">
            <v>1</v>
          </cell>
          <cell r="AG3">
            <v>6</v>
          </cell>
          <cell r="AH3">
            <v>2</v>
          </cell>
          <cell r="AJ3">
            <v>3</v>
          </cell>
          <cell r="AK3">
            <v>2</v>
          </cell>
          <cell r="AL3">
            <v>31</v>
          </cell>
          <cell r="AM3"/>
        </row>
        <row r="4">
          <cell r="A4" t="str">
            <v>MH</v>
          </cell>
          <cell r="H4">
            <v>1</v>
          </cell>
          <cell r="I4">
            <v>1</v>
          </cell>
          <cell r="P4">
            <v>1</v>
          </cell>
          <cell r="Q4">
            <v>1</v>
          </cell>
          <cell r="R4">
            <v>1</v>
          </cell>
          <cell r="Y4">
            <v>1</v>
          </cell>
          <cell r="AF4">
            <v>1</v>
          </cell>
          <cell r="AG4">
            <v>1</v>
          </cell>
          <cell r="AL4">
            <v>8</v>
          </cell>
          <cell r="AM4"/>
        </row>
        <row r="5">
          <cell r="A5" t="str">
            <v>NP</v>
          </cell>
          <cell r="B5">
            <v>6</v>
          </cell>
          <cell r="C5">
            <v>2</v>
          </cell>
          <cell r="D5">
            <v>3</v>
          </cell>
          <cell r="E5">
            <v>2</v>
          </cell>
          <cell r="G5">
            <v>1</v>
          </cell>
          <cell r="H5">
            <v>2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R5">
            <v>1</v>
          </cell>
          <cell r="S5">
            <v>1</v>
          </cell>
          <cell r="T5">
            <v>3</v>
          </cell>
          <cell r="V5">
            <v>3</v>
          </cell>
          <cell r="W5">
            <v>3</v>
          </cell>
          <cell r="X5">
            <v>1</v>
          </cell>
          <cell r="Y5">
            <v>1</v>
          </cell>
          <cell r="Z5">
            <v>1</v>
          </cell>
          <cell r="AA5">
            <v>2</v>
          </cell>
          <cell r="AB5">
            <v>1</v>
          </cell>
          <cell r="AC5">
            <v>2</v>
          </cell>
          <cell r="AF5">
            <v>3</v>
          </cell>
          <cell r="AH5">
            <v>2</v>
          </cell>
          <cell r="AJ5">
            <v>2</v>
          </cell>
          <cell r="AL5">
            <v>48</v>
          </cell>
          <cell r="AM5"/>
        </row>
        <row r="6">
          <cell r="A6" t="str">
            <v>NT</v>
          </cell>
          <cell r="B6">
            <v>8</v>
          </cell>
          <cell r="C6">
            <v>5</v>
          </cell>
          <cell r="D6">
            <v>18</v>
          </cell>
          <cell r="E6">
            <v>13</v>
          </cell>
          <cell r="F6">
            <v>17</v>
          </cell>
          <cell r="G6">
            <v>23</v>
          </cell>
          <cell r="H6">
            <v>29</v>
          </cell>
          <cell r="I6">
            <v>17</v>
          </cell>
          <cell r="J6">
            <v>16</v>
          </cell>
          <cell r="K6">
            <v>10</v>
          </cell>
          <cell r="L6">
            <v>7</v>
          </cell>
          <cell r="M6">
            <v>12</v>
          </cell>
          <cell r="N6">
            <v>11</v>
          </cell>
          <cell r="O6">
            <v>12</v>
          </cell>
          <cell r="P6">
            <v>9</v>
          </cell>
          <cell r="Q6">
            <v>8</v>
          </cell>
          <cell r="R6">
            <v>8</v>
          </cell>
          <cell r="S6">
            <v>2</v>
          </cell>
          <cell r="T6">
            <v>4</v>
          </cell>
          <cell r="U6">
            <v>10</v>
          </cell>
          <cell r="V6">
            <v>17</v>
          </cell>
          <cell r="W6">
            <v>24</v>
          </cell>
          <cell r="X6">
            <v>11</v>
          </cell>
          <cell r="Y6">
            <v>19</v>
          </cell>
          <cell r="Z6">
            <v>21</v>
          </cell>
          <cell r="AA6">
            <v>20</v>
          </cell>
          <cell r="AB6">
            <v>17</v>
          </cell>
          <cell r="AC6">
            <v>17</v>
          </cell>
          <cell r="AD6">
            <v>20</v>
          </cell>
          <cell r="AE6">
            <v>9</v>
          </cell>
          <cell r="AF6">
            <v>4</v>
          </cell>
          <cell r="AG6">
            <v>7</v>
          </cell>
          <cell r="AH6">
            <v>16</v>
          </cell>
          <cell r="AI6">
            <v>16</v>
          </cell>
          <cell r="AJ6">
            <v>11</v>
          </cell>
          <cell r="AK6">
            <v>9</v>
          </cell>
          <cell r="AL6">
            <v>477</v>
          </cell>
          <cell r="AM6"/>
        </row>
        <row r="7">
          <cell r="A7" t="str">
            <v>SU</v>
          </cell>
          <cell r="B7">
            <v>21</v>
          </cell>
          <cell r="C7">
            <v>11</v>
          </cell>
          <cell r="D7">
            <v>1</v>
          </cell>
          <cell r="E7">
            <v>6</v>
          </cell>
          <cell r="F7">
            <v>1</v>
          </cell>
          <cell r="G7">
            <v>7</v>
          </cell>
          <cell r="J7">
            <v>4</v>
          </cell>
          <cell r="K7">
            <v>1</v>
          </cell>
          <cell r="L7">
            <v>4</v>
          </cell>
          <cell r="S7">
            <v>1</v>
          </cell>
          <cell r="V7">
            <v>11</v>
          </cell>
          <cell r="W7">
            <v>1</v>
          </cell>
          <cell r="X7">
            <v>1</v>
          </cell>
          <cell r="Y7">
            <v>1</v>
          </cell>
          <cell r="AA7">
            <v>3</v>
          </cell>
          <cell r="AC7">
            <v>2</v>
          </cell>
          <cell r="AD7">
            <v>1</v>
          </cell>
          <cell r="AE7">
            <v>3</v>
          </cell>
          <cell r="AF7">
            <v>1</v>
          </cell>
          <cell r="AH7">
            <v>1</v>
          </cell>
          <cell r="AL7">
            <v>82</v>
          </cell>
          <cell r="AM7"/>
        </row>
        <row r="8">
          <cell r="A8" t="str">
            <v>Total general</v>
          </cell>
          <cell r="B8">
            <v>55</v>
          </cell>
          <cell r="C8">
            <v>25</v>
          </cell>
          <cell r="D8">
            <v>28</v>
          </cell>
          <cell r="E8">
            <v>43</v>
          </cell>
          <cell r="F8">
            <v>26</v>
          </cell>
          <cell r="G8">
            <v>51</v>
          </cell>
          <cell r="H8">
            <v>43</v>
          </cell>
          <cell r="I8">
            <v>19</v>
          </cell>
          <cell r="J8">
            <v>30</v>
          </cell>
          <cell r="K8">
            <v>15</v>
          </cell>
          <cell r="L8">
            <v>21</v>
          </cell>
          <cell r="M8">
            <v>14</v>
          </cell>
          <cell r="N8">
            <v>17</v>
          </cell>
          <cell r="O8">
            <v>14</v>
          </cell>
          <cell r="P8">
            <v>16</v>
          </cell>
          <cell r="Q8">
            <v>15</v>
          </cell>
          <cell r="R8">
            <v>12</v>
          </cell>
          <cell r="S8">
            <v>16</v>
          </cell>
          <cell r="T8">
            <v>9</v>
          </cell>
          <cell r="U8">
            <v>12</v>
          </cell>
          <cell r="V8">
            <v>56</v>
          </cell>
          <cell r="W8">
            <v>43</v>
          </cell>
          <cell r="X8">
            <v>25</v>
          </cell>
          <cell r="Y8">
            <v>26</v>
          </cell>
          <cell r="Z8">
            <v>42</v>
          </cell>
          <cell r="AA8">
            <v>32</v>
          </cell>
          <cell r="AB8">
            <v>23</v>
          </cell>
          <cell r="AC8">
            <v>44</v>
          </cell>
          <cell r="AD8">
            <v>25</v>
          </cell>
          <cell r="AE8">
            <v>21</v>
          </cell>
          <cell r="AF8">
            <v>22</v>
          </cell>
          <cell r="AG8">
            <v>14</v>
          </cell>
          <cell r="AH8">
            <v>27</v>
          </cell>
          <cell r="AI8">
            <v>18</v>
          </cell>
          <cell r="AJ8">
            <v>20</v>
          </cell>
          <cell r="AK8">
            <v>13</v>
          </cell>
          <cell r="AL8">
            <v>932</v>
          </cell>
          <cell r="AM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rv.cat/ca/estudis/graus/admissio/acces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moodle.urv.cat/docnet/guia_docent/index.php?centre=codicentre" TargetMode="External"/><Relationship Id="rId1" Type="http://schemas.openxmlformats.org/officeDocument/2006/relationships/hyperlink" Target="http://www.urv.cat/ca/estudis/graus/admissio/matricula/" TargetMode="External"/><Relationship Id="rId6" Type="http://schemas.openxmlformats.org/officeDocument/2006/relationships/hyperlink" Target="https://tarragona.euses.cat/qualitat/" TargetMode="External"/><Relationship Id="rId5" Type="http://schemas.openxmlformats.org/officeDocument/2006/relationships/hyperlink" Target="https://www.urv.cat/ca/universitat/normatives/normativa-mobilitat/" TargetMode="External"/><Relationship Id="rId4" Type="http://schemas.openxmlformats.org/officeDocument/2006/relationships/hyperlink" Target="https://tarragona.euses.cat/professors-euses-tarragona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A8DFA-BE4D-49C1-9803-0FA747D48E90}">
  <dimension ref="B7:L103"/>
  <sheetViews>
    <sheetView tabSelected="1" workbookViewId="0"/>
  </sheetViews>
  <sheetFormatPr baseColWidth="10" defaultColWidth="11.5703125" defaultRowHeight="15" x14ac:dyDescent="0.25"/>
  <sheetData>
    <row r="7" spans="2:11" s="398" customFormat="1" ht="18" x14ac:dyDescent="0.25">
      <c r="B7" s="1" t="s">
        <v>0</v>
      </c>
    </row>
    <row r="8" spans="2:11" s="398" customFormat="1" x14ac:dyDescent="0.25"/>
    <row r="9" spans="2:11" s="398" customFormat="1" ht="18" x14ac:dyDescent="0.25">
      <c r="B9" s="1" t="s">
        <v>933</v>
      </c>
    </row>
    <row r="10" spans="2:11" ht="13.5" customHeight="1" x14ac:dyDescent="0.25">
      <c r="B10" s="1"/>
    </row>
    <row r="11" spans="2:11" x14ac:dyDescent="0.25">
      <c r="B11" s="404" t="s">
        <v>1</v>
      </c>
      <c r="C11" s="404"/>
      <c r="D11" s="404"/>
      <c r="E11" s="405"/>
      <c r="F11" s="405"/>
      <c r="G11" s="405"/>
      <c r="H11" s="405"/>
      <c r="I11" s="405"/>
      <c r="J11" s="405"/>
    </row>
    <row r="12" spans="2:11" ht="25.5" customHeight="1" x14ac:dyDescent="0.25">
      <c r="B12" s="672" t="s">
        <v>2</v>
      </c>
      <c r="C12" s="672"/>
      <c r="D12" s="665" t="s">
        <v>3</v>
      </c>
      <c r="E12" s="665"/>
      <c r="F12" s="665"/>
      <c r="G12" s="665"/>
      <c r="H12" s="665"/>
      <c r="I12" s="665"/>
      <c r="J12" s="665"/>
      <c r="K12" s="665"/>
    </row>
    <row r="13" spans="2:11" x14ac:dyDescent="0.25">
      <c r="B13" s="665"/>
      <c r="C13" s="665"/>
      <c r="D13" s="410" t="s">
        <v>4</v>
      </c>
      <c r="E13" s="410" t="s">
        <v>5</v>
      </c>
      <c r="F13" s="410" t="s">
        <v>6</v>
      </c>
      <c r="G13" s="410" t="s">
        <v>7</v>
      </c>
      <c r="H13" s="410" t="s">
        <v>8</v>
      </c>
      <c r="I13" s="410" t="s">
        <v>9</v>
      </c>
      <c r="J13" s="410" t="s">
        <v>10</v>
      </c>
      <c r="K13" s="410" t="s">
        <v>11</v>
      </c>
    </row>
    <row r="14" spans="2:11" ht="15.75" customHeight="1" thickBot="1" x14ac:dyDescent="0.3">
      <c r="B14" s="673" t="s">
        <v>12</v>
      </c>
      <c r="C14" s="673"/>
      <c r="D14" s="29">
        <v>35</v>
      </c>
      <c r="E14" s="29">
        <v>59</v>
      </c>
      <c r="F14" s="29">
        <v>79</v>
      </c>
      <c r="G14" s="29">
        <v>109</v>
      </c>
      <c r="H14" s="29">
        <v>114</v>
      </c>
      <c r="I14" s="29">
        <v>93</v>
      </c>
      <c r="J14" s="29">
        <v>99</v>
      </c>
      <c r="K14" s="29">
        <v>108</v>
      </c>
    </row>
    <row r="15" spans="2:11" ht="15" customHeight="1" thickBot="1" x14ac:dyDescent="0.3">
      <c r="B15" s="674" t="s">
        <v>13</v>
      </c>
      <c r="C15" s="674"/>
      <c r="D15" s="416">
        <v>41</v>
      </c>
      <c r="E15" s="413">
        <v>83</v>
      </c>
      <c r="F15" s="413">
        <v>127</v>
      </c>
      <c r="G15" s="413">
        <v>168</v>
      </c>
      <c r="H15" s="413">
        <v>194</v>
      </c>
      <c r="I15" s="413">
        <v>223</v>
      </c>
      <c r="J15" s="413">
        <v>240</v>
      </c>
      <c r="K15" s="413">
        <v>240</v>
      </c>
    </row>
    <row r="16" spans="2:11" s="398" customFormat="1" ht="15" customHeight="1" x14ac:dyDescent="0.25">
      <c r="B16" s="675" t="s">
        <v>14</v>
      </c>
      <c r="C16" s="675"/>
      <c r="D16" s="412" t="s">
        <v>15</v>
      </c>
      <c r="E16" s="412" t="s">
        <v>15</v>
      </c>
      <c r="F16" s="412" t="s">
        <v>15</v>
      </c>
      <c r="G16" s="412" t="s">
        <v>15</v>
      </c>
      <c r="H16" s="412" t="s">
        <v>15</v>
      </c>
      <c r="I16" s="412">
        <v>1</v>
      </c>
      <c r="J16" s="412">
        <v>1</v>
      </c>
      <c r="K16" s="412">
        <v>3</v>
      </c>
    </row>
    <row r="17" spans="2:12" ht="15.75" thickBot="1" x14ac:dyDescent="0.3">
      <c r="B17" s="664" t="s">
        <v>16</v>
      </c>
      <c r="C17" s="664"/>
      <c r="D17" s="411">
        <f>SUM(D14:D16)</f>
        <v>76</v>
      </c>
      <c r="E17" s="411">
        <f t="shared" ref="E17:K17" si="0">SUM(E14:E16)</f>
        <v>142</v>
      </c>
      <c r="F17" s="411">
        <f t="shared" si="0"/>
        <v>206</v>
      </c>
      <c r="G17" s="411">
        <f t="shared" si="0"/>
        <v>277</v>
      </c>
      <c r="H17" s="411">
        <f t="shared" si="0"/>
        <v>308</v>
      </c>
      <c r="I17" s="411">
        <f t="shared" si="0"/>
        <v>317</v>
      </c>
      <c r="J17" s="411">
        <f t="shared" si="0"/>
        <v>340</v>
      </c>
      <c r="K17" s="411">
        <f t="shared" si="0"/>
        <v>351</v>
      </c>
    </row>
    <row r="18" spans="2:12" x14ac:dyDescent="0.25">
      <c r="B18" s="87" t="s">
        <v>832</v>
      </c>
      <c r="C18" s="406"/>
      <c r="D18" s="405"/>
      <c r="E18" s="4"/>
      <c r="F18" s="405"/>
      <c r="G18" s="405"/>
      <c r="H18" s="405"/>
      <c r="I18" s="405"/>
      <c r="J18" s="405"/>
      <c r="L18" s="3"/>
    </row>
    <row r="19" spans="2:12" x14ac:dyDescent="0.25">
      <c r="B19" s="4" t="s">
        <v>17</v>
      </c>
      <c r="C19" s="405"/>
      <c r="D19" s="405"/>
      <c r="F19" s="405"/>
      <c r="G19" s="405"/>
      <c r="H19" s="405"/>
      <c r="I19" s="405"/>
      <c r="J19" s="405"/>
      <c r="L19" s="3"/>
    </row>
    <row r="20" spans="2:12" ht="13.5" customHeight="1" x14ac:dyDescent="0.25">
      <c r="B20" s="405"/>
      <c r="C20" s="405"/>
      <c r="D20" s="405"/>
      <c r="E20" s="405"/>
      <c r="F20" s="405"/>
      <c r="G20" s="405"/>
      <c r="H20" s="405"/>
      <c r="I20" s="405"/>
      <c r="J20" s="405"/>
    </row>
    <row r="21" spans="2:12" ht="13.5" customHeight="1" x14ac:dyDescent="0.25">
      <c r="B21" s="405"/>
      <c r="C21" s="405"/>
      <c r="D21" s="405"/>
      <c r="E21" s="405"/>
      <c r="F21" s="405"/>
      <c r="G21" s="405"/>
      <c r="H21" s="405"/>
      <c r="I21" s="405"/>
      <c r="J21" s="405"/>
    </row>
    <row r="22" spans="2:12" ht="12.75" customHeight="1" x14ac:dyDescent="0.25">
      <c r="B22" s="668" t="s">
        <v>1165</v>
      </c>
      <c r="C22" s="668"/>
      <c r="D22" s="668"/>
      <c r="E22" s="668"/>
      <c r="F22" s="668"/>
      <c r="G22" s="668"/>
      <c r="H22" s="668"/>
      <c r="I22" s="405"/>
      <c r="J22" s="405"/>
    </row>
    <row r="23" spans="2:12" ht="15" customHeight="1" x14ac:dyDescent="0.25">
      <c r="B23" s="672" t="s">
        <v>1260</v>
      </c>
      <c r="C23" s="672"/>
      <c r="D23" s="665" t="s">
        <v>18</v>
      </c>
      <c r="E23" s="665"/>
      <c r="F23" s="665"/>
      <c r="G23" s="665"/>
      <c r="H23" s="665"/>
      <c r="I23" s="665"/>
      <c r="J23" s="665"/>
      <c r="K23" s="665"/>
    </row>
    <row r="24" spans="2:12" x14ac:dyDescent="0.25">
      <c r="B24" s="665"/>
      <c r="C24" s="665"/>
      <c r="D24" s="410" t="s">
        <v>4</v>
      </c>
      <c r="E24" s="410" t="s">
        <v>5</v>
      </c>
      <c r="F24" s="410" t="s">
        <v>6</v>
      </c>
      <c r="G24" s="410" t="s">
        <v>7</v>
      </c>
      <c r="H24" s="410" t="s">
        <v>8</v>
      </c>
      <c r="I24" s="410" t="s">
        <v>9</v>
      </c>
      <c r="J24" s="410" t="s">
        <v>10</v>
      </c>
      <c r="K24" s="410" t="s">
        <v>11</v>
      </c>
    </row>
    <row r="25" spans="2:12" ht="21" customHeight="1" thickBot="1" x14ac:dyDescent="0.3">
      <c r="B25" s="669" t="s">
        <v>19</v>
      </c>
      <c r="C25" s="669"/>
      <c r="D25" s="413">
        <v>35</v>
      </c>
      <c r="E25" s="413">
        <v>32</v>
      </c>
      <c r="F25" s="413">
        <v>28</v>
      </c>
      <c r="G25" s="413">
        <v>27</v>
      </c>
      <c r="H25" s="413">
        <v>13</v>
      </c>
      <c r="I25" s="413">
        <v>5</v>
      </c>
      <c r="J25" s="413">
        <v>3</v>
      </c>
      <c r="K25" s="413">
        <v>2</v>
      </c>
    </row>
    <row r="26" spans="2:12" ht="21" customHeight="1" thickBot="1" x14ac:dyDescent="0.3">
      <c r="B26" s="670" t="s">
        <v>20</v>
      </c>
      <c r="C26" s="670"/>
      <c r="D26" s="414" t="s">
        <v>15</v>
      </c>
      <c r="E26" s="414">
        <v>27</v>
      </c>
      <c r="F26" s="414">
        <v>25</v>
      </c>
      <c r="G26" s="414">
        <v>23</v>
      </c>
      <c r="H26" s="414">
        <v>23</v>
      </c>
      <c r="I26" s="414">
        <v>10</v>
      </c>
      <c r="J26" s="414">
        <v>6</v>
      </c>
      <c r="K26" s="414">
        <v>3</v>
      </c>
    </row>
    <row r="27" spans="2:12" ht="21" customHeight="1" thickBot="1" x14ac:dyDescent="0.3">
      <c r="B27" s="670" t="s">
        <v>21</v>
      </c>
      <c r="C27" s="670"/>
      <c r="D27" s="414" t="s">
        <v>15</v>
      </c>
      <c r="E27" s="414" t="s">
        <v>15</v>
      </c>
      <c r="F27" s="414">
        <v>26</v>
      </c>
      <c r="G27" s="414">
        <v>21</v>
      </c>
      <c r="H27" s="414">
        <v>20</v>
      </c>
      <c r="I27" s="414">
        <v>19</v>
      </c>
      <c r="J27" s="414">
        <v>8</v>
      </c>
      <c r="K27" s="414">
        <v>5</v>
      </c>
    </row>
    <row r="28" spans="2:12" ht="21" customHeight="1" thickBot="1" x14ac:dyDescent="0.3">
      <c r="B28" s="670" t="s">
        <v>22</v>
      </c>
      <c r="C28" s="670"/>
      <c r="D28" s="414" t="s">
        <v>15</v>
      </c>
      <c r="E28" s="414" t="s">
        <v>15</v>
      </c>
      <c r="F28" s="414" t="s">
        <v>15</v>
      </c>
      <c r="G28" s="414">
        <v>38</v>
      </c>
      <c r="H28" s="414">
        <v>31</v>
      </c>
      <c r="I28" s="414">
        <v>21</v>
      </c>
      <c r="J28" s="414">
        <v>17</v>
      </c>
      <c r="K28" s="414">
        <v>6</v>
      </c>
    </row>
    <row r="29" spans="2:12" ht="21" customHeight="1" thickBot="1" x14ac:dyDescent="0.3">
      <c r="B29" s="670" t="s">
        <v>23</v>
      </c>
      <c r="C29" s="670"/>
      <c r="D29" s="414" t="s">
        <v>15</v>
      </c>
      <c r="E29" s="414" t="s">
        <v>15</v>
      </c>
      <c r="F29" s="414" t="s">
        <v>15</v>
      </c>
      <c r="G29" s="414" t="s">
        <v>15</v>
      </c>
      <c r="H29" s="414">
        <v>27</v>
      </c>
      <c r="I29" s="414">
        <v>19</v>
      </c>
      <c r="J29" s="414">
        <v>13</v>
      </c>
      <c r="K29" s="414">
        <v>11</v>
      </c>
    </row>
    <row r="30" spans="2:12" ht="21" customHeight="1" thickBot="1" x14ac:dyDescent="0.3">
      <c r="B30" s="670" t="s">
        <v>24</v>
      </c>
      <c r="C30" s="670"/>
      <c r="D30" s="414" t="s">
        <v>15</v>
      </c>
      <c r="E30" s="414" t="s">
        <v>15</v>
      </c>
      <c r="F30" s="414" t="s">
        <v>15</v>
      </c>
      <c r="G30" s="414" t="s">
        <v>15</v>
      </c>
      <c r="H30" s="414" t="s">
        <v>15</v>
      </c>
      <c r="I30" s="414">
        <v>19</v>
      </c>
      <c r="J30" s="414">
        <v>17</v>
      </c>
      <c r="K30" s="414">
        <v>15</v>
      </c>
    </row>
    <row r="31" spans="2:12" ht="21" customHeight="1" thickBot="1" x14ac:dyDescent="0.3">
      <c r="B31" s="670" t="s">
        <v>25</v>
      </c>
      <c r="C31" s="670"/>
      <c r="D31" s="414" t="s">
        <v>15</v>
      </c>
      <c r="E31" s="414" t="s">
        <v>15</v>
      </c>
      <c r="F31" s="414" t="s">
        <v>15</v>
      </c>
      <c r="G31" s="414" t="s">
        <v>15</v>
      </c>
      <c r="H31" s="414" t="s">
        <v>15</v>
      </c>
      <c r="I31" s="414" t="s">
        <v>15</v>
      </c>
      <c r="J31" s="414">
        <v>35</v>
      </c>
      <c r="K31" s="414">
        <v>26</v>
      </c>
    </row>
    <row r="32" spans="2:12" ht="21" customHeight="1" x14ac:dyDescent="0.25">
      <c r="B32" s="671" t="s">
        <v>26</v>
      </c>
      <c r="C32" s="671"/>
      <c r="D32" s="415" t="s">
        <v>15</v>
      </c>
      <c r="E32" s="415" t="s">
        <v>15</v>
      </c>
      <c r="F32" s="415" t="s">
        <v>15</v>
      </c>
      <c r="G32" s="415" t="s">
        <v>15</v>
      </c>
      <c r="H32" s="415" t="s">
        <v>15</v>
      </c>
      <c r="I32" s="415" t="s">
        <v>15</v>
      </c>
      <c r="J32" s="415" t="s">
        <v>15</v>
      </c>
      <c r="K32" s="415">
        <v>40</v>
      </c>
    </row>
    <row r="33" spans="2:11" ht="12.75" customHeight="1" thickBot="1" x14ac:dyDescent="0.3">
      <c r="B33" s="664" t="s">
        <v>16</v>
      </c>
      <c r="C33" s="664"/>
      <c r="D33" s="411">
        <f>SUM(D25:D29)</f>
        <v>35</v>
      </c>
      <c r="E33" s="411">
        <f>SUM(E25:E27)</f>
        <v>59</v>
      </c>
      <c r="F33" s="411">
        <f>SUM(F25:F27)</f>
        <v>79</v>
      </c>
      <c r="G33" s="411">
        <f>SUM(G25:G28)</f>
        <v>109</v>
      </c>
      <c r="H33" s="411">
        <f>SUM(H25:H29)</f>
        <v>114</v>
      </c>
      <c r="I33" s="411">
        <f>SUM(I25:I30)</f>
        <v>93</v>
      </c>
      <c r="J33" s="411">
        <f>SUM(J25:J31)</f>
        <v>99</v>
      </c>
      <c r="K33" s="411">
        <f>SUM(K25:K32)</f>
        <v>108</v>
      </c>
    </row>
    <row r="34" spans="2:11" x14ac:dyDescent="0.25">
      <c r="B34" s="4" t="s">
        <v>832</v>
      </c>
      <c r="C34" s="405"/>
      <c r="D34" s="405"/>
      <c r="E34" s="405"/>
      <c r="F34" s="405"/>
      <c r="G34" s="405"/>
      <c r="H34" s="405"/>
      <c r="I34" s="405"/>
      <c r="J34" s="405"/>
    </row>
    <row r="35" spans="2:11" x14ac:dyDescent="0.25">
      <c r="B35" s="4" t="s">
        <v>17</v>
      </c>
      <c r="C35" s="405"/>
      <c r="D35" s="405"/>
      <c r="E35" s="405"/>
      <c r="F35" s="405"/>
      <c r="G35" s="405"/>
      <c r="H35" s="405"/>
      <c r="I35" s="405"/>
      <c r="J35" s="405"/>
    </row>
    <row r="36" spans="2:11" ht="12.75" customHeight="1" x14ac:dyDescent="0.25">
      <c r="B36" s="405"/>
      <c r="C36" s="405"/>
      <c r="D36" s="405"/>
      <c r="E36" s="405"/>
      <c r="F36" s="405"/>
      <c r="G36" s="405"/>
      <c r="H36" s="405"/>
      <c r="I36" s="405"/>
      <c r="J36" s="405"/>
    </row>
    <row r="37" spans="2:11" ht="12.75" customHeight="1" x14ac:dyDescent="0.25">
      <c r="B37" s="405"/>
      <c r="C37" s="405"/>
      <c r="D37" s="405"/>
      <c r="E37" s="405"/>
      <c r="F37" s="405"/>
      <c r="G37" s="405"/>
      <c r="H37" s="405"/>
      <c r="I37" s="405"/>
      <c r="J37" s="405"/>
    </row>
    <row r="38" spans="2:11" ht="12.75" customHeight="1" x14ac:dyDescent="0.25">
      <c r="B38" s="682" t="s">
        <v>1164</v>
      </c>
      <c r="C38" s="682"/>
      <c r="D38" s="682"/>
      <c r="E38" s="682"/>
      <c r="F38" s="682"/>
      <c r="G38" s="682"/>
      <c r="H38" s="682"/>
      <c r="I38" s="405"/>
      <c r="J38" s="405"/>
    </row>
    <row r="39" spans="2:11" ht="15" customHeight="1" x14ac:dyDescent="0.25">
      <c r="B39" s="681" t="s">
        <v>1260</v>
      </c>
      <c r="C39" s="681"/>
      <c r="D39" s="665" t="s">
        <v>27</v>
      </c>
      <c r="E39" s="665"/>
      <c r="F39" s="665"/>
      <c r="G39" s="665"/>
      <c r="H39" s="665"/>
      <c r="I39" s="665"/>
      <c r="J39" s="665"/>
      <c r="K39" s="665"/>
    </row>
    <row r="40" spans="2:11" x14ac:dyDescent="0.25">
      <c r="B40" s="665"/>
      <c r="C40" s="665"/>
      <c r="D40" s="410" t="s">
        <v>4</v>
      </c>
      <c r="E40" s="410" t="s">
        <v>5</v>
      </c>
      <c r="F40" s="410" t="s">
        <v>6</v>
      </c>
      <c r="G40" s="410" t="s">
        <v>7</v>
      </c>
      <c r="H40" s="410" t="s">
        <v>8</v>
      </c>
      <c r="I40" s="410" t="s">
        <v>9</v>
      </c>
      <c r="J40" s="410" t="s">
        <v>10</v>
      </c>
      <c r="K40" s="410" t="s">
        <v>11</v>
      </c>
    </row>
    <row r="41" spans="2:11" ht="15.75" thickBot="1" x14ac:dyDescent="0.3">
      <c r="B41" s="669" t="s">
        <v>19</v>
      </c>
      <c r="C41" s="669"/>
      <c r="D41" s="413">
        <v>41</v>
      </c>
      <c r="E41" s="413">
        <v>38</v>
      </c>
      <c r="F41" s="413">
        <v>36</v>
      </c>
      <c r="G41" s="413">
        <v>36</v>
      </c>
      <c r="H41" s="413">
        <v>6</v>
      </c>
      <c r="I41" s="413">
        <v>4</v>
      </c>
      <c r="J41" s="413">
        <v>3</v>
      </c>
      <c r="K41" s="413">
        <v>1</v>
      </c>
    </row>
    <row r="42" spans="2:11" ht="15.75" thickBot="1" x14ac:dyDescent="0.3">
      <c r="B42" s="670" t="s">
        <v>20</v>
      </c>
      <c r="C42" s="670"/>
      <c r="D42" s="414" t="s">
        <v>15</v>
      </c>
      <c r="E42" s="414">
        <v>45</v>
      </c>
      <c r="F42" s="414">
        <v>41</v>
      </c>
      <c r="G42" s="414">
        <v>34</v>
      </c>
      <c r="H42" s="414">
        <v>34</v>
      </c>
      <c r="I42" s="414">
        <v>15</v>
      </c>
      <c r="J42" s="414">
        <v>2</v>
      </c>
      <c r="K42" s="414">
        <v>1</v>
      </c>
    </row>
    <row r="43" spans="2:11" ht="15.75" thickBot="1" x14ac:dyDescent="0.3">
      <c r="B43" s="670" t="s">
        <v>21</v>
      </c>
      <c r="C43" s="670"/>
      <c r="D43" s="414" t="s">
        <v>15</v>
      </c>
      <c r="E43" s="414" t="s">
        <v>15</v>
      </c>
      <c r="F43" s="414">
        <v>50</v>
      </c>
      <c r="G43" s="414">
        <v>43</v>
      </c>
      <c r="H43" s="414">
        <v>42</v>
      </c>
      <c r="I43" s="414">
        <v>40</v>
      </c>
      <c r="J43" s="414">
        <v>22</v>
      </c>
      <c r="K43" s="414">
        <v>7</v>
      </c>
    </row>
    <row r="44" spans="2:11" ht="15.75" thickBot="1" x14ac:dyDescent="0.3">
      <c r="B44" s="670" t="s">
        <v>22</v>
      </c>
      <c r="C44" s="670"/>
      <c r="D44" s="414" t="s">
        <v>15</v>
      </c>
      <c r="E44" s="414" t="s">
        <v>15</v>
      </c>
      <c r="F44" s="414" t="s">
        <v>15</v>
      </c>
      <c r="G44" s="414">
        <v>55</v>
      </c>
      <c r="H44" s="414">
        <v>50</v>
      </c>
      <c r="I44" s="414">
        <v>47</v>
      </c>
      <c r="J44" s="414">
        <v>45</v>
      </c>
      <c r="K44" s="414">
        <v>27</v>
      </c>
    </row>
    <row r="45" spans="2:11" ht="15.75" thickBot="1" x14ac:dyDescent="0.3">
      <c r="B45" s="670" t="s">
        <v>23</v>
      </c>
      <c r="C45" s="670"/>
      <c r="D45" s="414" t="s">
        <v>15</v>
      </c>
      <c r="E45" s="414" t="s">
        <v>15</v>
      </c>
      <c r="F45" s="414" t="s">
        <v>15</v>
      </c>
      <c r="G45" s="414" t="s">
        <v>15</v>
      </c>
      <c r="H45" s="414">
        <v>62</v>
      </c>
      <c r="I45" s="414">
        <v>61</v>
      </c>
      <c r="J45" s="414">
        <v>53</v>
      </c>
      <c r="K45" s="414">
        <v>49</v>
      </c>
    </row>
    <row r="46" spans="2:11" ht="15.75" thickBot="1" x14ac:dyDescent="0.3">
      <c r="B46" s="670" t="s">
        <v>24</v>
      </c>
      <c r="C46" s="670"/>
      <c r="D46" s="414" t="s">
        <v>15</v>
      </c>
      <c r="E46" s="414" t="s">
        <v>15</v>
      </c>
      <c r="F46" s="414" t="s">
        <v>28</v>
      </c>
      <c r="G46" s="414" t="s">
        <v>15</v>
      </c>
      <c r="H46" s="414" t="s">
        <v>15</v>
      </c>
      <c r="I46" s="414">
        <v>56</v>
      </c>
      <c r="J46" s="414">
        <v>52</v>
      </c>
      <c r="K46" s="414">
        <v>42</v>
      </c>
    </row>
    <row r="47" spans="2:11" ht="15.75" thickBot="1" x14ac:dyDescent="0.3">
      <c r="B47" s="670" t="s">
        <v>25</v>
      </c>
      <c r="C47" s="670"/>
      <c r="D47" s="414" t="s">
        <v>15</v>
      </c>
      <c r="E47" s="414" t="s">
        <v>15</v>
      </c>
      <c r="F47" s="414" t="s">
        <v>15</v>
      </c>
      <c r="G47" s="414" t="s">
        <v>15</v>
      </c>
      <c r="H47" s="414" t="s">
        <v>15</v>
      </c>
      <c r="I47" s="414" t="s">
        <v>15</v>
      </c>
      <c r="J47" s="414">
        <v>63</v>
      </c>
      <c r="K47" s="414">
        <v>54</v>
      </c>
    </row>
    <row r="48" spans="2:11" x14ac:dyDescent="0.25">
      <c r="B48" s="671" t="s">
        <v>26</v>
      </c>
      <c r="C48" s="671"/>
      <c r="D48" s="415" t="s">
        <v>15</v>
      </c>
      <c r="E48" s="415" t="s">
        <v>15</v>
      </c>
      <c r="F48" s="415" t="s">
        <v>15</v>
      </c>
      <c r="G48" s="415" t="s">
        <v>15</v>
      </c>
      <c r="H48" s="415" t="s">
        <v>15</v>
      </c>
      <c r="I48" s="415" t="s">
        <v>15</v>
      </c>
      <c r="J48" s="415" t="s">
        <v>15</v>
      </c>
      <c r="K48" s="415">
        <v>59</v>
      </c>
    </row>
    <row r="49" spans="2:11" ht="15.75" thickBot="1" x14ac:dyDescent="0.3">
      <c r="B49" s="664" t="s">
        <v>16</v>
      </c>
      <c r="C49" s="664"/>
      <c r="D49" s="411">
        <f>SUM(D41:D48)</f>
        <v>41</v>
      </c>
      <c r="E49" s="411">
        <f t="shared" ref="E49:K49" si="1">SUM(E41:E48)</f>
        <v>83</v>
      </c>
      <c r="F49" s="411">
        <f t="shared" si="1"/>
        <v>127</v>
      </c>
      <c r="G49" s="411">
        <f t="shared" si="1"/>
        <v>168</v>
      </c>
      <c r="H49" s="411">
        <f t="shared" si="1"/>
        <v>194</v>
      </c>
      <c r="I49" s="411">
        <f t="shared" si="1"/>
        <v>223</v>
      </c>
      <c r="J49" s="411">
        <f t="shared" si="1"/>
        <v>240</v>
      </c>
      <c r="K49" s="411">
        <f t="shared" si="1"/>
        <v>240</v>
      </c>
    </row>
    <row r="50" spans="2:11" ht="12.75" customHeight="1" x14ac:dyDescent="0.25">
      <c r="B50" s="4" t="s">
        <v>832</v>
      </c>
      <c r="C50" s="405"/>
      <c r="D50" s="405"/>
      <c r="E50" s="405"/>
      <c r="F50" s="405"/>
      <c r="G50" s="405"/>
      <c r="H50" s="405"/>
      <c r="I50" s="4"/>
      <c r="J50" s="405"/>
    </row>
    <row r="51" spans="2:11" ht="12.75" customHeight="1" x14ac:dyDescent="0.25">
      <c r="B51" s="4" t="s">
        <v>17</v>
      </c>
      <c r="C51" s="405"/>
      <c r="D51" s="405"/>
      <c r="E51" s="405"/>
      <c r="F51" s="405"/>
      <c r="G51" s="405"/>
      <c r="H51" s="405"/>
      <c r="I51" s="4"/>
      <c r="J51" s="405"/>
    </row>
    <row r="52" spans="2:11" x14ac:dyDescent="0.25">
      <c r="B52" s="405"/>
      <c r="C52" s="405"/>
      <c r="D52" s="405"/>
      <c r="E52" s="405"/>
      <c r="F52" s="405"/>
      <c r="G52" s="405"/>
      <c r="H52" s="405"/>
      <c r="I52" s="4"/>
      <c r="J52" s="405"/>
    </row>
    <row r="53" spans="2:11" x14ac:dyDescent="0.25">
      <c r="B53" s="405"/>
      <c r="C53" s="405"/>
      <c r="D53" s="405"/>
      <c r="E53" s="405"/>
      <c r="F53" s="405"/>
      <c r="G53" s="405"/>
      <c r="H53" s="405"/>
      <c r="I53" s="4"/>
      <c r="J53" s="405"/>
    </row>
    <row r="54" spans="2:11" ht="15" customHeight="1" x14ac:dyDescent="0.25">
      <c r="B54" s="668" t="s">
        <v>1166</v>
      </c>
      <c r="C54" s="668"/>
      <c r="D54" s="668"/>
      <c r="E54" s="668"/>
      <c r="F54" s="668"/>
      <c r="G54" s="668"/>
      <c r="H54" s="668"/>
      <c r="I54" s="405"/>
      <c r="J54" s="405"/>
    </row>
    <row r="55" spans="2:11" ht="25.5" customHeight="1" x14ac:dyDescent="0.25">
      <c r="B55" s="666" t="s">
        <v>1260</v>
      </c>
      <c r="C55" s="666"/>
      <c r="D55" s="665" t="s">
        <v>1261</v>
      </c>
      <c r="E55" s="665"/>
      <c r="F55" s="665"/>
      <c r="G55" s="405"/>
      <c r="H55" s="405"/>
      <c r="I55" s="405"/>
      <c r="J55" s="405"/>
      <c r="K55" s="398"/>
    </row>
    <row r="56" spans="2:11" x14ac:dyDescent="0.25">
      <c r="B56" s="667"/>
      <c r="C56" s="667"/>
      <c r="D56" s="417" t="s">
        <v>9</v>
      </c>
      <c r="E56" s="417" t="s">
        <v>10</v>
      </c>
      <c r="F56" s="417" t="s">
        <v>11</v>
      </c>
      <c r="G56" s="405"/>
      <c r="H56" s="405"/>
      <c r="I56" s="405"/>
      <c r="J56" s="405"/>
      <c r="K56" s="398"/>
    </row>
    <row r="57" spans="2:11" ht="15.75" thickBot="1" x14ac:dyDescent="0.3">
      <c r="B57" s="669" t="s">
        <v>24</v>
      </c>
      <c r="C57" s="669"/>
      <c r="D57" s="416">
        <v>1</v>
      </c>
      <c r="E57" s="416">
        <v>1</v>
      </c>
      <c r="F57" s="416">
        <v>1</v>
      </c>
      <c r="G57" s="405"/>
      <c r="H57" s="405"/>
      <c r="I57" s="405"/>
      <c r="J57" s="405"/>
    </row>
    <row r="58" spans="2:11" ht="15.75" thickBot="1" x14ac:dyDescent="0.3">
      <c r="B58" s="670" t="s">
        <v>25</v>
      </c>
      <c r="C58" s="670"/>
      <c r="D58" s="414" t="s">
        <v>15</v>
      </c>
      <c r="E58" s="414">
        <v>1</v>
      </c>
      <c r="F58" s="414">
        <v>1</v>
      </c>
      <c r="G58" s="405"/>
      <c r="H58" s="405"/>
      <c r="I58" s="405"/>
      <c r="J58" s="405"/>
    </row>
    <row r="59" spans="2:11" x14ac:dyDescent="0.25">
      <c r="B59" s="671" t="s">
        <v>26</v>
      </c>
      <c r="C59" s="671"/>
      <c r="D59" s="415" t="s">
        <v>15</v>
      </c>
      <c r="E59" s="415" t="s">
        <v>15</v>
      </c>
      <c r="F59" s="415">
        <v>3</v>
      </c>
      <c r="G59" s="405"/>
      <c r="H59" s="405"/>
      <c r="I59" s="405"/>
      <c r="J59" s="405"/>
    </row>
    <row r="60" spans="2:11" ht="15.75" thickBot="1" x14ac:dyDescent="0.3">
      <c r="B60" s="664" t="s">
        <v>16</v>
      </c>
      <c r="C60" s="664"/>
      <c r="D60" s="411">
        <f>SUM(D57:D59)</f>
        <v>1</v>
      </c>
      <c r="E60" s="411">
        <f t="shared" ref="E60:F60" si="2">SUM(E57:E59)</f>
        <v>2</v>
      </c>
      <c r="F60" s="411">
        <f t="shared" si="2"/>
        <v>5</v>
      </c>
      <c r="G60" s="405"/>
      <c r="H60" s="405"/>
      <c r="I60" s="405"/>
      <c r="J60" s="405"/>
    </row>
    <row r="61" spans="2:11" x14ac:dyDescent="0.25">
      <c r="B61" s="4" t="s">
        <v>832</v>
      </c>
      <c r="C61" s="405"/>
      <c r="D61" s="405"/>
      <c r="E61" s="405"/>
      <c r="F61" s="405"/>
      <c r="G61" s="405"/>
      <c r="H61" s="405"/>
      <c r="I61" s="4"/>
      <c r="J61" s="405"/>
    </row>
    <row r="62" spans="2:11" x14ac:dyDescent="0.25">
      <c r="B62" s="4" t="s">
        <v>17</v>
      </c>
      <c r="C62" s="405"/>
      <c r="D62" s="405"/>
      <c r="E62" s="405"/>
      <c r="F62" s="405"/>
      <c r="G62" s="405"/>
      <c r="H62" s="405"/>
      <c r="I62" s="4"/>
      <c r="J62" s="405"/>
    </row>
    <row r="63" spans="2:11" x14ac:dyDescent="0.25">
      <c r="B63" s="405"/>
      <c r="C63" s="405"/>
      <c r="D63" s="405"/>
      <c r="E63" s="405"/>
      <c r="F63" s="405"/>
      <c r="G63" s="405"/>
      <c r="H63" s="405"/>
      <c r="I63" s="4"/>
      <c r="J63" s="405"/>
    </row>
    <row r="64" spans="2:11" x14ac:dyDescent="0.25">
      <c r="B64" s="405"/>
      <c r="C64" s="405"/>
      <c r="D64" s="405"/>
      <c r="E64" s="405"/>
      <c r="F64" s="405"/>
      <c r="G64" s="405"/>
      <c r="H64" s="405"/>
      <c r="I64" s="4"/>
      <c r="J64" s="405"/>
    </row>
    <row r="65" spans="2:11" x14ac:dyDescent="0.25">
      <c r="B65" s="668" t="s">
        <v>29</v>
      </c>
      <c r="C65" s="668"/>
      <c r="D65" s="668"/>
      <c r="E65" s="668"/>
      <c r="F65" s="668"/>
      <c r="G65" s="405"/>
      <c r="H65" s="405"/>
      <c r="I65" s="4"/>
      <c r="J65" s="405"/>
    </row>
    <row r="66" spans="2:11" ht="15" customHeight="1" x14ac:dyDescent="0.25">
      <c r="B66" s="672" t="s">
        <v>2</v>
      </c>
      <c r="C66" s="672"/>
      <c r="D66" s="665" t="s">
        <v>1262</v>
      </c>
      <c r="E66" s="665"/>
      <c r="F66" s="665"/>
      <c r="G66" s="665"/>
      <c r="H66" s="665"/>
      <c r="I66" s="665"/>
      <c r="J66" s="665"/>
      <c r="K66" s="665"/>
    </row>
    <row r="67" spans="2:11" x14ac:dyDescent="0.25">
      <c r="B67" s="665"/>
      <c r="C67" s="665"/>
      <c r="D67" s="410" t="s">
        <v>4</v>
      </c>
      <c r="E67" s="410" t="s">
        <v>5</v>
      </c>
      <c r="F67" s="410" t="s">
        <v>6</v>
      </c>
      <c r="G67" s="410" t="s">
        <v>7</v>
      </c>
      <c r="H67" s="410" t="s">
        <v>8</v>
      </c>
      <c r="I67" s="410" t="s">
        <v>9</v>
      </c>
      <c r="J67" s="410" t="s">
        <v>10</v>
      </c>
      <c r="K67" s="410" t="s">
        <v>11</v>
      </c>
    </row>
    <row r="68" spans="2:11" ht="15.75" thickBot="1" x14ac:dyDescent="0.3">
      <c r="B68" s="673" t="s">
        <v>12</v>
      </c>
      <c r="C68" s="673"/>
      <c r="D68" s="29" t="s">
        <v>15</v>
      </c>
      <c r="E68" s="29" t="s">
        <v>15</v>
      </c>
      <c r="F68" s="29" t="s">
        <v>15</v>
      </c>
      <c r="G68" s="29">
        <v>16</v>
      </c>
      <c r="H68" s="29">
        <v>21</v>
      </c>
      <c r="I68" s="29">
        <v>13</v>
      </c>
      <c r="J68" s="29">
        <v>14</v>
      </c>
      <c r="K68" s="29">
        <v>16</v>
      </c>
    </row>
    <row r="69" spans="2:11" ht="15.75" thickBot="1" x14ac:dyDescent="0.3">
      <c r="B69" s="674" t="s">
        <v>13</v>
      </c>
      <c r="C69" s="674"/>
      <c r="D69" s="416" t="s">
        <v>15</v>
      </c>
      <c r="E69" s="413" t="s">
        <v>15</v>
      </c>
      <c r="F69" s="413" t="s">
        <v>15</v>
      </c>
      <c r="G69" s="413">
        <v>25</v>
      </c>
      <c r="H69" s="413">
        <v>24</v>
      </c>
      <c r="I69" s="413">
        <v>31</v>
      </c>
      <c r="J69" s="413">
        <v>31</v>
      </c>
      <c r="K69" s="413">
        <v>33</v>
      </c>
    </row>
    <row r="70" spans="2:11" ht="15.75" thickBot="1" x14ac:dyDescent="0.3">
      <c r="B70" s="680" t="s">
        <v>16</v>
      </c>
      <c r="C70" s="680"/>
      <c r="D70" s="411">
        <f>SUM(D68:D69)</f>
        <v>0</v>
      </c>
      <c r="E70" s="411">
        <f t="shared" ref="E70:K70" si="3">SUM(E68:E69)</f>
        <v>0</v>
      </c>
      <c r="F70" s="411">
        <f t="shared" si="3"/>
        <v>0</v>
      </c>
      <c r="G70" s="411">
        <f t="shared" si="3"/>
        <v>41</v>
      </c>
      <c r="H70" s="411">
        <f t="shared" si="3"/>
        <v>45</v>
      </c>
      <c r="I70" s="411">
        <f t="shared" si="3"/>
        <v>44</v>
      </c>
      <c r="J70" s="411">
        <f t="shared" si="3"/>
        <v>45</v>
      </c>
      <c r="K70" s="411">
        <f t="shared" si="3"/>
        <v>49</v>
      </c>
    </row>
    <row r="71" spans="2:11" x14ac:dyDescent="0.25">
      <c r="B71" s="4" t="s">
        <v>832</v>
      </c>
      <c r="C71" s="5"/>
      <c r="D71" s="405"/>
      <c r="E71" s="4"/>
      <c r="F71" s="405"/>
      <c r="G71" s="405"/>
      <c r="H71" s="405"/>
      <c r="I71" s="4"/>
      <c r="J71" s="405"/>
    </row>
    <row r="72" spans="2:11" x14ac:dyDescent="0.25">
      <c r="B72" s="4" t="s">
        <v>17</v>
      </c>
      <c r="C72" s="89"/>
      <c r="D72" s="89"/>
      <c r="E72" s="4"/>
      <c r="F72" s="405"/>
      <c r="G72" s="405"/>
      <c r="H72" s="405"/>
      <c r="I72" s="4"/>
      <c r="J72" s="405"/>
    </row>
    <row r="73" spans="2:11" x14ac:dyDescent="0.25">
      <c r="B73" s="405"/>
      <c r="C73" s="405"/>
      <c r="D73" s="405"/>
      <c r="E73" s="405"/>
      <c r="F73" s="405"/>
      <c r="G73" s="405"/>
      <c r="H73" s="405"/>
      <c r="I73" s="405"/>
      <c r="J73" s="405"/>
    </row>
    <row r="74" spans="2:11" x14ac:dyDescent="0.25">
      <c r="B74" s="405"/>
      <c r="C74" s="405"/>
      <c r="D74" s="405"/>
      <c r="E74" s="405"/>
      <c r="F74" s="405"/>
      <c r="G74" s="405"/>
      <c r="H74" s="405"/>
      <c r="I74" s="405"/>
      <c r="J74" s="405"/>
    </row>
    <row r="75" spans="2:11" x14ac:dyDescent="0.25">
      <c r="B75" s="407" t="s">
        <v>31</v>
      </c>
      <c r="C75" s="407"/>
      <c r="D75" s="407"/>
      <c r="E75" s="408"/>
      <c r="F75" s="408"/>
      <c r="G75" s="405"/>
      <c r="H75" s="405"/>
      <c r="I75" s="405"/>
      <c r="J75" s="405"/>
    </row>
    <row r="76" spans="2:11" ht="15" customHeight="1" x14ac:dyDescent="0.25">
      <c r="B76" s="672" t="s">
        <v>2</v>
      </c>
      <c r="C76" s="672"/>
      <c r="D76" s="665" t="s">
        <v>32</v>
      </c>
      <c r="E76" s="665"/>
      <c r="F76" s="665"/>
      <c r="G76" s="665"/>
      <c r="H76" s="665"/>
      <c r="I76" s="665"/>
      <c r="J76" s="665"/>
      <c r="K76" s="665"/>
    </row>
    <row r="77" spans="2:11" x14ac:dyDescent="0.25">
      <c r="B77" s="665"/>
      <c r="C77" s="665"/>
      <c r="D77" s="410" t="s">
        <v>4</v>
      </c>
      <c r="E77" s="410" t="s">
        <v>5</v>
      </c>
      <c r="F77" s="410" t="s">
        <v>6</v>
      </c>
      <c r="G77" s="410" t="s">
        <v>7</v>
      </c>
      <c r="H77" s="410" t="s">
        <v>8</v>
      </c>
      <c r="I77" s="410" t="s">
        <v>9</v>
      </c>
      <c r="J77" s="410" t="s">
        <v>10</v>
      </c>
      <c r="K77" s="410" t="s">
        <v>11</v>
      </c>
    </row>
    <row r="78" spans="2:11" ht="15.75" thickBot="1" x14ac:dyDescent="0.3">
      <c r="B78" s="673" t="s">
        <v>12</v>
      </c>
      <c r="C78" s="673"/>
      <c r="D78" s="29">
        <v>8</v>
      </c>
      <c r="E78" s="29">
        <v>17</v>
      </c>
      <c r="F78" s="29">
        <v>29</v>
      </c>
      <c r="G78" s="29">
        <v>32</v>
      </c>
      <c r="H78" s="29">
        <v>30</v>
      </c>
      <c r="I78" s="29">
        <v>30</v>
      </c>
      <c r="J78" s="29">
        <v>28</v>
      </c>
      <c r="K78" s="29">
        <v>28</v>
      </c>
    </row>
    <row r="79" spans="2:11" ht="15.75" thickBot="1" x14ac:dyDescent="0.3">
      <c r="B79" s="674" t="s">
        <v>13</v>
      </c>
      <c r="C79" s="674"/>
      <c r="D79" s="416">
        <v>7</v>
      </c>
      <c r="E79" s="413">
        <v>16</v>
      </c>
      <c r="F79" s="413">
        <v>23</v>
      </c>
      <c r="G79" s="413">
        <v>29</v>
      </c>
      <c r="H79" s="413">
        <v>32</v>
      </c>
      <c r="I79" s="413">
        <v>31</v>
      </c>
      <c r="J79" s="413">
        <v>34</v>
      </c>
      <c r="K79" s="413">
        <v>34</v>
      </c>
    </row>
    <row r="80" spans="2:11" ht="15.75" thickBot="1" x14ac:dyDescent="0.3">
      <c r="B80" s="680" t="s">
        <v>16</v>
      </c>
      <c r="C80" s="680"/>
      <c r="D80" s="411">
        <f>SUM(D78:D79)</f>
        <v>15</v>
      </c>
      <c r="E80" s="411">
        <f t="shared" ref="E80" si="4">SUM(E78:E79)</f>
        <v>33</v>
      </c>
      <c r="F80" s="411">
        <f t="shared" ref="F80" si="5">SUM(F78:F79)</f>
        <v>52</v>
      </c>
      <c r="G80" s="411">
        <f t="shared" ref="G80" si="6">SUM(G78:G79)</f>
        <v>61</v>
      </c>
      <c r="H80" s="411">
        <f t="shared" ref="H80" si="7">SUM(H78:H79)</f>
        <v>62</v>
      </c>
      <c r="I80" s="411">
        <f t="shared" ref="I80" si="8">SUM(I78:I79)</f>
        <v>61</v>
      </c>
      <c r="J80" s="411">
        <f t="shared" ref="J80" si="9">SUM(J78:J79)</f>
        <v>62</v>
      </c>
      <c r="K80" s="411">
        <f t="shared" ref="K80" si="10">SUM(K78:K79)</f>
        <v>62</v>
      </c>
    </row>
    <row r="81" spans="2:10" x14ac:dyDescent="0.25">
      <c r="B81" s="4"/>
      <c r="C81" s="405"/>
      <c r="D81" s="405"/>
      <c r="E81" s="405"/>
      <c r="F81" s="405"/>
      <c r="G81" s="405"/>
      <c r="H81" s="405"/>
      <c r="I81" s="405"/>
      <c r="J81" s="405"/>
    </row>
    <row r="82" spans="2:10" x14ac:dyDescent="0.25">
      <c r="B82" s="4"/>
      <c r="C82" s="405"/>
      <c r="D82" s="405"/>
      <c r="E82" s="405"/>
      <c r="F82" s="405"/>
      <c r="G82" s="405"/>
      <c r="H82" s="405"/>
      <c r="I82" s="405"/>
      <c r="J82" s="405"/>
    </row>
    <row r="83" spans="2:10" x14ac:dyDescent="0.25">
      <c r="B83" s="409" t="s">
        <v>33</v>
      </c>
      <c r="C83" s="409"/>
      <c r="D83" s="409"/>
      <c r="E83" s="409"/>
      <c r="F83" s="409" t="s">
        <v>1265</v>
      </c>
      <c r="G83" s="4"/>
      <c r="H83" s="4"/>
      <c r="I83" s="405"/>
      <c r="J83" s="405"/>
    </row>
    <row r="84" spans="2:10" x14ac:dyDescent="0.25">
      <c r="B84" s="676" t="s">
        <v>4</v>
      </c>
      <c r="C84" s="421" t="s">
        <v>34</v>
      </c>
      <c r="D84" s="418">
        <v>4</v>
      </c>
      <c r="E84" s="405"/>
      <c r="F84" s="677" t="s">
        <v>4</v>
      </c>
      <c r="G84" s="421" t="s">
        <v>34</v>
      </c>
      <c r="H84" s="418">
        <v>4</v>
      </c>
      <c r="I84" s="405"/>
      <c r="J84" s="405"/>
    </row>
    <row r="85" spans="2:10" ht="15.75" thickBot="1" x14ac:dyDescent="0.3">
      <c r="B85" s="676"/>
      <c r="C85" s="422" t="s">
        <v>35</v>
      </c>
      <c r="D85" s="419">
        <v>4</v>
      </c>
      <c r="E85" s="405"/>
      <c r="F85" s="677"/>
      <c r="G85" s="422" t="s">
        <v>35</v>
      </c>
      <c r="H85" s="419">
        <v>3</v>
      </c>
      <c r="I85" s="405"/>
      <c r="J85" s="405"/>
    </row>
    <row r="86" spans="2:10" x14ac:dyDescent="0.25">
      <c r="B86" s="676" t="s">
        <v>5</v>
      </c>
      <c r="C86" s="421" t="s">
        <v>34</v>
      </c>
      <c r="D86" s="418">
        <v>11</v>
      </c>
      <c r="E86" s="405"/>
      <c r="F86" s="677" t="s">
        <v>5</v>
      </c>
      <c r="G86" s="421" t="s">
        <v>34</v>
      </c>
      <c r="H86" s="418">
        <v>9</v>
      </c>
      <c r="I86" s="405"/>
      <c r="J86" s="405"/>
    </row>
    <row r="87" spans="2:10" ht="15.75" thickBot="1" x14ac:dyDescent="0.3">
      <c r="B87" s="676"/>
      <c r="C87" s="422" t="s">
        <v>35</v>
      </c>
      <c r="D87" s="419">
        <v>6</v>
      </c>
      <c r="E87" s="409"/>
      <c r="F87" s="677"/>
      <c r="G87" s="422" t="s">
        <v>35</v>
      </c>
      <c r="H87" s="419">
        <v>7</v>
      </c>
      <c r="I87" s="405"/>
      <c r="J87" s="405"/>
    </row>
    <row r="88" spans="2:10" x14ac:dyDescent="0.25">
      <c r="B88" s="676" t="s">
        <v>6</v>
      </c>
      <c r="C88" s="421" t="s">
        <v>34</v>
      </c>
      <c r="D88" s="418">
        <v>17</v>
      </c>
      <c r="E88" s="405"/>
      <c r="F88" s="677" t="s">
        <v>6</v>
      </c>
      <c r="G88" s="421" t="s">
        <v>34</v>
      </c>
      <c r="H88" s="418">
        <v>14</v>
      </c>
      <c r="I88" s="405"/>
      <c r="J88" s="405"/>
    </row>
    <row r="89" spans="2:10" ht="15.75" thickBot="1" x14ac:dyDescent="0.3">
      <c r="B89" s="676"/>
      <c r="C89" s="422" t="s">
        <v>35</v>
      </c>
      <c r="D89" s="419">
        <v>12</v>
      </c>
      <c r="E89" s="405"/>
      <c r="F89" s="677"/>
      <c r="G89" s="422" t="s">
        <v>35</v>
      </c>
      <c r="H89" s="419">
        <v>9</v>
      </c>
      <c r="I89" s="405"/>
      <c r="J89" s="405"/>
    </row>
    <row r="90" spans="2:10" x14ac:dyDescent="0.25">
      <c r="B90" s="676" t="s">
        <v>7</v>
      </c>
      <c r="C90" s="421" t="s">
        <v>34</v>
      </c>
      <c r="D90" s="418">
        <v>20</v>
      </c>
      <c r="E90" s="405"/>
      <c r="F90" s="677" t="s">
        <v>7</v>
      </c>
      <c r="G90" s="421" t="s">
        <v>34</v>
      </c>
      <c r="H90" s="418">
        <v>15</v>
      </c>
      <c r="I90" s="409"/>
      <c r="J90" s="405"/>
    </row>
    <row r="91" spans="2:10" ht="15.75" thickBot="1" x14ac:dyDescent="0.3">
      <c r="B91" s="676"/>
      <c r="C91" s="422" t="s">
        <v>35</v>
      </c>
      <c r="D91" s="419">
        <v>12</v>
      </c>
      <c r="E91" s="409"/>
      <c r="F91" s="677"/>
      <c r="G91" s="422" t="s">
        <v>35</v>
      </c>
      <c r="H91" s="419">
        <v>14</v>
      </c>
      <c r="I91" s="405"/>
      <c r="J91" s="405"/>
    </row>
    <row r="92" spans="2:10" x14ac:dyDescent="0.25">
      <c r="B92" s="676" t="s">
        <v>8</v>
      </c>
      <c r="C92" s="421" t="s">
        <v>34</v>
      </c>
      <c r="D92" s="418">
        <v>20</v>
      </c>
      <c r="E92" s="405"/>
      <c r="F92" s="677" t="s">
        <v>8</v>
      </c>
      <c r="G92" s="421" t="s">
        <v>34</v>
      </c>
      <c r="H92" s="418">
        <v>16</v>
      </c>
      <c r="I92" s="405"/>
      <c r="J92" s="405"/>
    </row>
    <row r="93" spans="2:10" ht="15.75" thickBot="1" x14ac:dyDescent="0.3">
      <c r="B93" s="676"/>
      <c r="C93" s="422" t="s">
        <v>35</v>
      </c>
      <c r="D93" s="419">
        <v>10</v>
      </c>
      <c r="E93" s="405"/>
      <c r="F93" s="677"/>
      <c r="G93" s="422" t="s">
        <v>35</v>
      </c>
      <c r="H93" s="419">
        <v>16</v>
      </c>
      <c r="I93" s="405"/>
      <c r="J93" s="405"/>
    </row>
    <row r="94" spans="2:10" x14ac:dyDescent="0.25">
      <c r="B94" s="676" t="s">
        <v>9</v>
      </c>
      <c r="C94" s="421" t="s">
        <v>34</v>
      </c>
      <c r="D94" s="418">
        <v>21</v>
      </c>
      <c r="E94" s="405"/>
      <c r="F94" s="677" t="s">
        <v>9</v>
      </c>
      <c r="G94" s="421" t="s">
        <v>34</v>
      </c>
      <c r="H94" s="418">
        <v>16</v>
      </c>
      <c r="I94" s="409"/>
      <c r="J94" s="405"/>
    </row>
    <row r="95" spans="2:10" ht="15.75" thickBot="1" x14ac:dyDescent="0.3">
      <c r="B95" s="676"/>
      <c r="C95" s="422" t="s">
        <v>35</v>
      </c>
      <c r="D95" s="419">
        <v>9</v>
      </c>
      <c r="E95" s="409"/>
      <c r="F95" s="677"/>
      <c r="G95" s="422" t="s">
        <v>35</v>
      </c>
      <c r="H95" s="419">
        <v>15</v>
      </c>
      <c r="I95" s="405"/>
      <c r="J95" s="405"/>
    </row>
    <row r="96" spans="2:10" x14ac:dyDescent="0.25">
      <c r="B96" s="676" t="s">
        <v>10</v>
      </c>
      <c r="C96" s="421" t="s">
        <v>34</v>
      </c>
      <c r="D96" s="418">
        <v>21</v>
      </c>
      <c r="E96" s="405"/>
      <c r="F96" s="677" t="s">
        <v>10</v>
      </c>
      <c r="G96" s="421" t="s">
        <v>34</v>
      </c>
      <c r="H96" s="418">
        <v>17</v>
      </c>
      <c r="I96" s="405"/>
      <c r="J96" s="405"/>
    </row>
    <row r="97" spans="2:10" ht="15.75" thickBot="1" x14ac:dyDescent="0.3">
      <c r="B97" s="676"/>
      <c r="C97" s="422" t="s">
        <v>35</v>
      </c>
      <c r="D97" s="419">
        <v>7</v>
      </c>
      <c r="E97" s="405"/>
      <c r="F97" s="677"/>
      <c r="G97" s="422" t="s">
        <v>35</v>
      </c>
      <c r="H97" s="419">
        <v>17</v>
      </c>
      <c r="I97" s="405"/>
      <c r="J97" s="405"/>
    </row>
    <row r="98" spans="2:10" x14ac:dyDescent="0.25">
      <c r="B98" s="676" t="s">
        <v>11</v>
      </c>
      <c r="C98" s="421" t="s">
        <v>34</v>
      </c>
      <c r="D98" s="418">
        <v>22</v>
      </c>
      <c r="E98" s="405"/>
      <c r="F98" s="677" t="s">
        <v>11</v>
      </c>
      <c r="G98" s="421" t="s">
        <v>34</v>
      </c>
      <c r="H98" s="418">
        <v>18</v>
      </c>
      <c r="I98" s="405"/>
      <c r="J98" s="405"/>
    </row>
    <row r="99" spans="2:10" ht="15.75" thickBot="1" x14ac:dyDescent="0.3">
      <c r="B99" s="678"/>
      <c r="C99" s="423" t="s">
        <v>35</v>
      </c>
      <c r="D99" s="420">
        <v>6</v>
      </c>
      <c r="E99" s="409"/>
      <c r="F99" s="679"/>
      <c r="G99" s="423" t="s">
        <v>35</v>
      </c>
      <c r="H99" s="420">
        <v>16</v>
      </c>
      <c r="I99" s="405"/>
      <c r="J99" s="405"/>
    </row>
    <row r="100" spans="2:10" x14ac:dyDescent="0.25">
      <c r="B100" s="4" t="s">
        <v>832</v>
      </c>
      <c r="C100" s="405"/>
      <c r="D100" s="405"/>
      <c r="E100" s="405"/>
      <c r="F100" s="405"/>
      <c r="G100" s="405"/>
      <c r="H100" s="405"/>
      <c r="I100" s="409"/>
      <c r="J100" s="405"/>
    </row>
    <row r="101" spans="2:10" x14ac:dyDescent="0.25">
      <c r="B101" s="4" t="s">
        <v>17</v>
      </c>
      <c r="C101" s="405"/>
      <c r="D101" s="405"/>
      <c r="E101" s="405"/>
      <c r="F101" s="405"/>
      <c r="G101" s="405"/>
      <c r="H101" s="405"/>
      <c r="I101" s="405"/>
      <c r="J101" s="405"/>
    </row>
    <row r="102" spans="2:10" x14ac:dyDescent="0.25">
      <c r="B102" s="405"/>
      <c r="C102" s="405"/>
      <c r="D102" s="405"/>
      <c r="E102" s="405"/>
      <c r="F102" s="405"/>
      <c r="G102" s="405"/>
      <c r="H102" s="405"/>
      <c r="I102" s="405"/>
      <c r="J102" s="405"/>
    </row>
    <row r="103" spans="2:10" x14ac:dyDescent="0.25">
      <c r="B103" s="405"/>
      <c r="C103" s="405"/>
      <c r="D103" s="405"/>
      <c r="E103" s="405"/>
      <c r="F103" s="405"/>
      <c r="G103" s="405"/>
      <c r="H103" s="405"/>
      <c r="I103" s="405"/>
      <c r="J103" s="405"/>
    </row>
  </sheetData>
  <mergeCells count="64">
    <mergeCell ref="B38:H38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9:C40"/>
    <mergeCell ref="D39:K39"/>
    <mergeCell ref="B41:C41"/>
    <mergeCell ref="B42:C42"/>
    <mergeCell ref="B43:C43"/>
    <mergeCell ref="B84:B85"/>
    <mergeCell ref="F84:F85"/>
    <mergeCell ref="B86:B87"/>
    <mergeCell ref="F86:F87"/>
    <mergeCell ref="B65:F65"/>
    <mergeCell ref="D66:K66"/>
    <mergeCell ref="B68:C68"/>
    <mergeCell ref="B69:C69"/>
    <mergeCell ref="B70:C70"/>
    <mergeCell ref="B66:C67"/>
    <mergeCell ref="B76:C77"/>
    <mergeCell ref="D76:K76"/>
    <mergeCell ref="B78:C78"/>
    <mergeCell ref="B79:C79"/>
    <mergeCell ref="B80:C80"/>
    <mergeCell ref="B88:B89"/>
    <mergeCell ref="F88:F89"/>
    <mergeCell ref="B90:B91"/>
    <mergeCell ref="F90:F91"/>
    <mergeCell ref="B92:B93"/>
    <mergeCell ref="F92:F93"/>
    <mergeCell ref="B94:B95"/>
    <mergeCell ref="F94:F95"/>
    <mergeCell ref="B96:B97"/>
    <mergeCell ref="F96:F97"/>
    <mergeCell ref="B98:B99"/>
    <mergeCell ref="F98:F99"/>
    <mergeCell ref="D23:K23"/>
    <mergeCell ref="D12:K12"/>
    <mergeCell ref="B12:C13"/>
    <mergeCell ref="B14:C14"/>
    <mergeCell ref="B15:C15"/>
    <mergeCell ref="B17:C17"/>
    <mergeCell ref="B23:C24"/>
    <mergeCell ref="B22:H22"/>
    <mergeCell ref="B16:C16"/>
    <mergeCell ref="B44:C44"/>
    <mergeCell ref="B45:C45"/>
    <mergeCell ref="B46:C46"/>
    <mergeCell ref="B47:C47"/>
    <mergeCell ref="B48:C48"/>
    <mergeCell ref="B60:C60"/>
    <mergeCell ref="D55:F55"/>
    <mergeCell ref="B55:C56"/>
    <mergeCell ref="B49:C49"/>
    <mergeCell ref="B54:H54"/>
    <mergeCell ref="B57:C57"/>
    <mergeCell ref="B58:C58"/>
    <mergeCell ref="B59:C5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CF351-ADF4-4CA2-A316-4A48D026F6EA}">
  <dimension ref="A7:AC315"/>
  <sheetViews>
    <sheetView zoomScaleNormal="100" workbookViewId="0"/>
  </sheetViews>
  <sheetFormatPr baseColWidth="10" defaultColWidth="11.5703125" defaultRowHeight="15" x14ac:dyDescent="0.25"/>
  <sheetData>
    <row r="7" spans="2:23" ht="18" x14ac:dyDescent="0.25">
      <c r="B7" s="1" t="s">
        <v>0</v>
      </c>
      <c r="I7" s="398"/>
      <c r="J7" s="398"/>
      <c r="K7" s="398"/>
      <c r="L7" s="398"/>
    </row>
    <row r="8" spans="2:23" x14ac:dyDescent="0.25">
      <c r="B8" s="86"/>
    </row>
    <row r="9" spans="2:23" ht="18" x14ac:dyDescent="0.25">
      <c r="B9" s="1" t="s">
        <v>933</v>
      </c>
    </row>
    <row r="11" spans="2:23" s="398" customFormat="1" x14ac:dyDescent="0.25"/>
    <row r="12" spans="2:23" x14ac:dyDescent="0.25">
      <c r="B12" s="424" t="s">
        <v>1169</v>
      </c>
      <c r="C12" s="424"/>
      <c r="D12" s="398"/>
    </row>
    <row r="13" spans="2:23" s="398" customFormat="1" x14ac:dyDescent="0.25">
      <c r="B13" s="100"/>
      <c r="C13" s="100"/>
    </row>
    <row r="14" spans="2:23" x14ac:dyDescent="0.25">
      <c r="B14" s="6" t="s">
        <v>36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2:23" x14ac:dyDescent="0.25">
      <c r="B15" s="665" t="s">
        <v>2</v>
      </c>
      <c r="C15" s="665"/>
      <c r="D15" s="718" t="s">
        <v>37</v>
      </c>
      <c r="E15" s="718"/>
      <c r="F15" s="718"/>
      <c r="G15" s="28" t="s">
        <v>4</v>
      </c>
      <c r="H15" s="28" t="s">
        <v>5</v>
      </c>
      <c r="I15" s="28" t="s">
        <v>6</v>
      </c>
      <c r="J15" s="28" t="s">
        <v>7</v>
      </c>
      <c r="K15" s="28" t="s">
        <v>8</v>
      </c>
      <c r="L15" s="28" t="s">
        <v>9</v>
      </c>
      <c r="M15" s="28" t="s">
        <v>10</v>
      </c>
      <c r="N15" s="28" t="s">
        <v>11</v>
      </c>
    </row>
    <row r="16" spans="2:23" ht="13.5" customHeight="1" thickBot="1" x14ac:dyDescent="0.3">
      <c r="B16" s="686" t="s">
        <v>12</v>
      </c>
      <c r="C16" s="686"/>
      <c r="D16" s="716" t="s">
        <v>38</v>
      </c>
      <c r="E16" s="716"/>
      <c r="F16" s="716"/>
      <c r="G16" s="29">
        <v>60</v>
      </c>
      <c r="H16" s="29">
        <v>60</v>
      </c>
      <c r="I16" s="29">
        <v>60</v>
      </c>
      <c r="J16" s="29">
        <v>60</v>
      </c>
      <c r="K16" s="29">
        <v>60</v>
      </c>
      <c r="L16" s="29">
        <v>50</v>
      </c>
      <c r="M16" s="29">
        <v>50</v>
      </c>
      <c r="N16" s="431">
        <v>50</v>
      </c>
    </row>
    <row r="17" spans="2:14" ht="15.75" thickBot="1" x14ac:dyDescent="0.3">
      <c r="B17" s="686"/>
      <c r="C17" s="686"/>
      <c r="D17" s="715" t="s">
        <v>39</v>
      </c>
      <c r="E17" s="715"/>
      <c r="F17" s="715"/>
      <c r="G17" s="27">
        <v>15</v>
      </c>
      <c r="H17" s="27">
        <v>17</v>
      </c>
      <c r="I17" s="27">
        <v>12</v>
      </c>
      <c r="J17" s="27">
        <v>28</v>
      </c>
      <c r="K17" s="27">
        <v>25</v>
      </c>
      <c r="L17" s="27">
        <v>8</v>
      </c>
      <c r="M17" s="27">
        <v>17</v>
      </c>
      <c r="N17" s="432">
        <v>21</v>
      </c>
    </row>
    <row r="18" spans="2:14" ht="15.75" thickBot="1" x14ac:dyDescent="0.3">
      <c r="B18" s="686"/>
      <c r="C18" s="686"/>
      <c r="D18" s="715" t="s">
        <v>40</v>
      </c>
      <c r="E18" s="715"/>
      <c r="F18" s="715"/>
      <c r="G18" s="27" t="s">
        <v>41</v>
      </c>
      <c r="H18" s="27" t="s">
        <v>42</v>
      </c>
      <c r="I18" s="27" t="s">
        <v>43</v>
      </c>
      <c r="J18" s="27" t="s">
        <v>44</v>
      </c>
      <c r="K18" s="27" t="s">
        <v>45</v>
      </c>
      <c r="L18" s="27" t="s">
        <v>46</v>
      </c>
      <c r="M18" s="27" t="s">
        <v>47</v>
      </c>
      <c r="N18" s="432" t="s">
        <v>48</v>
      </c>
    </row>
    <row r="19" spans="2:14" ht="15.75" thickBot="1" x14ac:dyDescent="0.3">
      <c r="B19" s="686"/>
      <c r="C19" s="686"/>
      <c r="D19" s="715" t="s">
        <v>49</v>
      </c>
      <c r="E19" s="715"/>
      <c r="F19" s="715"/>
      <c r="G19" s="27">
        <v>39</v>
      </c>
      <c r="H19" s="27">
        <v>31</v>
      </c>
      <c r="I19" s="27">
        <v>30</v>
      </c>
      <c r="J19" s="27">
        <v>33</v>
      </c>
      <c r="K19" s="27">
        <v>33</v>
      </c>
      <c r="L19" s="27">
        <v>21</v>
      </c>
      <c r="M19" s="27">
        <v>35</v>
      </c>
      <c r="N19" s="432">
        <v>49</v>
      </c>
    </row>
    <row r="20" spans="2:14" ht="15.75" thickBot="1" x14ac:dyDescent="0.3">
      <c r="B20" s="686"/>
      <c r="C20" s="686"/>
      <c r="D20" s="715" t="s">
        <v>50</v>
      </c>
      <c r="E20" s="715"/>
      <c r="F20" s="715"/>
      <c r="G20" s="27">
        <v>39</v>
      </c>
      <c r="H20" s="27">
        <v>31</v>
      </c>
      <c r="I20" s="27">
        <v>31</v>
      </c>
      <c r="J20" s="27">
        <v>43</v>
      </c>
      <c r="K20" s="27">
        <v>38</v>
      </c>
      <c r="L20" s="27">
        <v>62</v>
      </c>
      <c r="M20" s="27">
        <v>58</v>
      </c>
      <c r="N20" s="432">
        <v>91</v>
      </c>
    </row>
    <row r="21" spans="2:14" ht="15.75" thickBot="1" x14ac:dyDescent="0.3">
      <c r="B21" s="686"/>
      <c r="C21" s="686"/>
      <c r="D21" s="715" t="s">
        <v>51</v>
      </c>
      <c r="E21" s="715"/>
      <c r="F21" s="715"/>
      <c r="G21" s="27">
        <v>35</v>
      </c>
      <c r="H21" s="27">
        <v>27</v>
      </c>
      <c r="I21" s="27">
        <v>26</v>
      </c>
      <c r="J21" s="27">
        <v>33</v>
      </c>
      <c r="K21" s="27">
        <v>26</v>
      </c>
      <c r="L21" s="27">
        <v>19</v>
      </c>
      <c r="M21" s="27">
        <v>35</v>
      </c>
      <c r="N21" s="432">
        <v>40</v>
      </c>
    </row>
    <row r="22" spans="2:14" ht="15.75" thickBot="1" x14ac:dyDescent="0.3">
      <c r="B22" s="686"/>
      <c r="C22" s="686"/>
      <c r="D22" s="715" t="s">
        <v>52</v>
      </c>
      <c r="E22" s="715"/>
      <c r="F22" s="715"/>
      <c r="G22" s="27">
        <v>15</v>
      </c>
      <c r="H22" s="27">
        <v>16</v>
      </c>
      <c r="I22" s="27">
        <v>10</v>
      </c>
      <c r="J22" s="27">
        <v>25</v>
      </c>
      <c r="K22" s="27">
        <v>22</v>
      </c>
      <c r="L22" s="27">
        <v>8</v>
      </c>
      <c r="M22" s="27">
        <v>17</v>
      </c>
      <c r="N22" s="27">
        <v>19</v>
      </c>
    </row>
    <row r="23" spans="2:14" ht="15.75" thickBot="1" x14ac:dyDescent="0.3">
      <c r="B23" s="687"/>
      <c r="C23" s="687"/>
      <c r="D23" s="713" t="s">
        <v>53</v>
      </c>
      <c r="E23" s="713"/>
      <c r="F23" s="713"/>
      <c r="G23" s="425">
        <v>0.42859999999999998</v>
      </c>
      <c r="H23" s="425">
        <f>16/27</f>
        <v>0.59259259259259256</v>
      </c>
      <c r="I23" s="425">
        <f t="shared" ref="I23:N23" si="0">I22/I21</f>
        <v>0.38461538461538464</v>
      </c>
      <c r="J23" s="425">
        <f t="shared" si="0"/>
        <v>0.75757575757575757</v>
      </c>
      <c r="K23" s="425">
        <f t="shared" si="0"/>
        <v>0.84615384615384615</v>
      </c>
      <c r="L23" s="425">
        <f t="shared" si="0"/>
        <v>0.42105263157894735</v>
      </c>
      <c r="M23" s="425">
        <f t="shared" si="0"/>
        <v>0.48571428571428571</v>
      </c>
      <c r="N23" s="425">
        <f t="shared" si="0"/>
        <v>0.47499999999999998</v>
      </c>
    </row>
    <row r="24" spans="2:14" x14ac:dyDescent="0.25">
      <c r="B24" s="21"/>
      <c r="C24" s="19"/>
      <c r="D24" s="20"/>
      <c r="E24" s="20"/>
      <c r="F24" s="20"/>
      <c r="G24" s="20"/>
      <c r="H24" s="20"/>
      <c r="I24" s="20"/>
      <c r="J24" s="20"/>
      <c r="K24" s="20"/>
    </row>
    <row r="25" spans="2:14" x14ac:dyDescent="0.25">
      <c r="B25" s="665" t="s">
        <v>2</v>
      </c>
      <c r="C25" s="665"/>
      <c r="D25" s="718" t="s">
        <v>37</v>
      </c>
      <c r="E25" s="718"/>
      <c r="F25" s="718"/>
      <c r="G25" s="28" t="s">
        <v>4</v>
      </c>
      <c r="H25" s="28" t="s">
        <v>5</v>
      </c>
      <c r="I25" s="28" t="s">
        <v>6</v>
      </c>
      <c r="J25" s="28" t="s">
        <v>7</v>
      </c>
      <c r="K25" s="28" t="s">
        <v>8</v>
      </c>
      <c r="L25" s="28" t="s">
        <v>9</v>
      </c>
      <c r="M25" s="28" t="s">
        <v>10</v>
      </c>
      <c r="N25" s="28" t="s">
        <v>11</v>
      </c>
    </row>
    <row r="26" spans="2:14" ht="15" customHeight="1" thickBot="1" x14ac:dyDescent="0.3">
      <c r="B26" s="686" t="s">
        <v>13</v>
      </c>
      <c r="C26" s="686"/>
      <c r="D26" s="716" t="s">
        <v>38</v>
      </c>
      <c r="E26" s="716"/>
      <c r="F26" s="716"/>
      <c r="G26" s="29">
        <v>60</v>
      </c>
      <c r="H26" s="29">
        <v>60</v>
      </c>
      <c r="I26" s="29">
        <v>60</v>
      </c>
      <c r="J26" s="29">
        <v>60</v>
      </c>
      <c r="K26" s="29">
        <v>60</v>
      </c>
      <c r="L26" s="29">
        <v>60</v>
      </c>
      <c r="M26" s="29">
        <v>60</v>
      </c>
      <c r="N26" s="29">
        <v>60</v>
      </c>
    </row>
    <row r="27" spans="2:14" ht="15.75" thickBot="1" x14ac:dyDescent="0.3">
      <c r="B27" s="686"/>
      <c r="C27" s="686"/>
      <c r="D27" s="715" t="s">
        <v>39</v>
      </c>
      <c r="E27" s="715"/>
      <c r="F27" s="715"/>
      <c r="G27" s="27">
        <v>10</v>
      </c>
      <c r="H27" s="27">
        <v>11</v>
      </c>
      <c r="I27" s="27">
        <v>23</v>
      </c>
      <c r="J27" s="27">
        <v>43</v>
      </c>
      <c r="K27" s="27">
        <v>34</v>
      </c>
      <c r="L27" s="27">
        <v>44</v>
      </c>
      <c r="M27" s="27">
        <v>50</v>
      </c>
      <c r="N27" s="27">
        <v>51</v>
      </c>
    </row>
    <row r="28" spans="2:14" ht="15.75" customHeight="1" thickBot="1" x14ac:dyDescent="0.3">
      <c r="B28" s="686"/>
      <c r="C28" s="686"/>
      <c r="D28" s="715" t="s">
        <v>40</v>
      </c>
      <c r="E28" s="715"/>
      <c r="F28" s="715"/>
      <c r="G28" s="27" t="s">
        <v>1266</v>
      </c>
      <c r="H28" s="27" t="s">
        <v>1267</v>
      </c>
      <c r="I28" s="27" t="s">
        <v>1268</v>
      </c>
      <c r="J28" s="27" t="s">
        <v>1269</v>
      </c>
      <c r="K28" s="27" t="s">
        <v>1270</v>
      </c>
      <c r="L28" s="27" t="s">
        <v>1271</v>
      </c>
      <c r="M28" s="27" t="s">
        <v>1272</v>
      </c>
      <c r="N28" s="432" t="s">
        <v>1273</v>
      </c>
    </row>
    <row r="29" spans="2:14" ht="15.75" thickBot="1" x14ac:dyDescent="0.3">
      <c r="B29" s="686"/>
      <c r="C29" s="686"/>
      <c r="D29" s="715" t="s">
        <v>49</v>
      </c>
      <c r="E29" s="715"/>
      <c r="F29" s="715"/>
      <c r="G29" s="27">
        <v>75</v>
      </c>
      <c r="H29" s="27">
        <v>93</v>
      </c>
      <c r="I29" s="27">
        <v>98</v>
      </c>
      <c r="J29" s="27">
        <v>187</v>
      </c>
      <c r="K29" s="27">
        <v>155</v>
      </c>
      <c r="L29" s="27">
        <v>171</v>
      </c>
      <c r="M29" s="27">
        <v>175</v>
      </c>
      <c r="N29" s="432">
        <v>187</v>
      </c>
    </row>
    <row r="30" spans="2:14" ht="15.75" thickBot="1" x14ac:dyDescent="0.3">
      <c r="B30" s="686"/>
      <c r="C30" s="686"/>
      <c r="D30" s="715" t="s">
        <v>50</v>
      </c>
      <c r="E30" s="715"/>
      <c r="F30" s="715"/>
      <c r="G30" s="27">
        <v>81</v>
      </c>
      <c r="H30" s="27">
        <v>100</v>
      </c>
      <c r="I30" s="27">
        <v>139</v>
      </c>
      <c r="J30" s="27">
        <v>361</v>
      </c>
      <c r="K30" s="27">
        <v>332</v>
      </c>
      <c r="L30" s="27">
        <v>344</v>
      </c>
      <c r="M30" s="27">
        <v>368</v>
      </c>
      <c r="N30" s="432">
        <v>359</v>
      </c>
    </row>
    <row r="31" spans="2:14" ht="15.75" thickBot="1" x14ac:dyDescent="0.3">
      <c r="B31" s="686"/>
      <c r="C31" s="686"/>
      <c r="D31" s="715" t="s">
        <v>51</v>
      </c>
      <c r="E31" s="715"/>
      <c r="F31" s="715"/>
      <c r="G31" s="27">
        <v>41</v>
      </c>
      <c r="H31" s="27">
        <v>45</v>
      </c>
      <c r="I31" s="27">
        <v>50</v>
      </c>
      <c r="J31" s="27">
        <v>55</v>
      </c>
      <c r="K31" s="27">
        <v>62</v>
      </c>
      <c r="L31" s="27">
        <v>56</v>
      </c>
      <c r="M31" s="27">
        <v>63</v>
      </c>
      <c r="N31" s="432">
        <v>59</v>
      </c>
    </row>
    <row r="32" spans="2:14" ht="15.75" thickBot="1" x14ac:dyDescent="0.3">
      <c r="B32" s="686"/>
      <c r="C32" s="686"/>
      <c r="D32" s="715" t="s">
        <v>52</v>
      </c>
      <c r="E32" s="715"/>
      <c r="F32" s="715"/>
      <c r="G32" s="27">
        <v>10</v>
      </c>
      <c r="H32" s="27">
        <v>9</v>
      </c>
      <c r="I32" s="27">
        <v>7</v>
      </c>
      <c r="J32" s="27">
        <v>21</v>
      </c>
      <c r="K32" s="27">
        <v>16</v>
      </c>
      <c r="L32" s="27">
        <v>21</v>
      </c>
      <c r="M32" s="27">
        <v>23</v>
      </c>
      <c r="N32" s="27">
        <v>34</v>
      </c>
    </row>
    <row r="33" spans="2:25" ht="15.75" thickBot="1" x14ac:dyDescent="0.3">
      <c r="B33" s="687"/>
      <c r="C33" s="687"/>
      <c r="D33" s="713" t="s">
        <v>53</v>
      </c>
      <c r="E33" s="713"/>
      <c r="F33" s="713"/>
      <c r="G33" s="425">
        <v>0.24390000000000001</v>
      </c>
      <c r="H33" s="425">
        <v>0.2</v>
      </c>
      <c r="I33" s="425">
        <v>0.14000000000000001</v>
      </c>
      <c r="J33" s="425">
        <v>0.38181818181818183</v>
      </c>
      <c r="K33" s="425">
        <v>0.25806451612903225</v>
      </c>
      <c r="L33" s="425">
        <v>0.375</v>
      </c>
      <c r="M33" s="425">
        <v>0.36507936507936506</v>
      </c>
      <c r="N33" s="425">
        <v>0.57627118644067798</v>
      </c>
    </row>
    <row r="34" spans="2:25" x14ac:dyDescent="0.25">
      <c r="B34" s="4" t="s">
        <v>832</v>
      </c>
      <c r="C34" s="23"/>
      <c r="D34" s="24"/>
      <c r="E34" s="24"/>
      <c r="F34" s="24"/>
      <c r="G34" s="24"/>
      <c r="H34" s="24"/>
      <c r="I34" s="24"/>
      <c r="J34" s="24"/>
      <c r="L34" s="22"/>
    </row>
    <row r="35" spans="2:25" ht="12.75" customHeight="1" x14ac:dyDescent="0.25">
      <c r="B35" s="4" t="s">
        <v>54</v>
      </c>
      <c r="C35" s="4"/>
    </row>
    <row r="36" spans="2:25" ht="18.75" customHeight="1" x14ac:dyDescent="0.25"/>
    <row r="37" spans="2:25" s="398" customFormat="1" x14ac:dyDescent="0.25">
      <c r="B37" s="100"/>
      <c r="C37" s="100"/>
    </row>
    <row r="38" spans="2:25" ht="12.75" customHeight="1" x14ac:dyDescent="0.25">
      <c r="B38" s="2" t="s">
        <v>55</v>
      </c>
      <c r="C38" s="2"/>
      <c r="D38" s="2"/>
      <c r="E38" s="2"/>
      <c r="F38" s="2"/>
      <c r="G38" s="2"/>
      <c r="H38" s="2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</row>
    <row r="39" spans="2:25" x14ac:dyDescent="0.25">
      <c r="B39" s="665" t="s">
        <v>2</v>
      </c>
      <c r="C39" s="665"/>
      <c r="D39" s="718" t="s">
        <v>56</v>
      </c>
      <c r="E39" s="718"/>
      <c r="F39" s="718"/>
      <c r="G39" s="28" t="s">
        <v>4</v>
      </c>
      <c r="H39" s="28" t="s">
        <v>5</v>
      </c>
      <c r="I39" s="28" t="s">
        <v>6</v>
      </c>
      <c r="J39" s="28" t="s">
        <v>7</v>
      </c>
      <c r="K39" s="28" t="s">
        <v>8</v>
      </c>
      <c r="L39" s="28" t="s">
        <v>9</v>
      </c>
      <c r="M39" s="28" t="s">
        <v>10</v>
      </c>
      <c r="N39" s="28" t="s">
        <v>11</v>
      </c>
    </row>
    <row r="40" spans="2:25" ht="28.5" customHeight="1" thickBot="1" x14ac:dyDescent="0.3">
      <c r="B40" s="709" t="s">
        <v>12</v>
      </c>
      <c r="C40" s="709"/>
      <c r="D40" s="716" t="s">
        <v>57</v>
      </c>
      <c r="E40" s="716"/>
      <c r="F40" s="716"/>
      <c r="G40" s="427">
        <v>0.48570000000000002</v>
      </c>
      <c r="H40" s="427">
        <v>0.44440000000000002</v>
      </c>
      <c r="I40" s="427">
        <f>15/26</f>
        <v>0.57692307692307687</v>
      </c>
      <c r="J40" s="427">
        <f>13/33</f>
        <v>0.39393939393939392</v>
      </c>
      <c r="K40" s="427">
        <f>20/26</f>
        <v>0.76923076923076927</v>
      </c>
      <c r="L40" s="427">
        <v>0.57894736842105265</v>
      </c>
      <c r="M40" s="427">
        <v>0.6</v>
      </c>
      <c r="N40" s="427">
        <f>23/40</f>
        <v>0.57499999999999996</v>
      </c>
    </row>
    <row r="41" spans="2:25" ht="18.75" customHeight="1" thickBot="1" x14ac:dyDescent="0.3">
      <c r="B41" s="686"/>
      <c r="C41" s="686"/>
      <c r="D41" s="715" t="s">
        <v>58</v>
      </c>
      <c r="E41" s="715"/>
      <c r="F41" s="715"/>
      <c r="G41" s="428">
        <v>0</v>
      </c>
      <c r="H41" s="428">
        <v>3.6999999999999998E-2</v>
      </c>
      <c r="I41" s="428">
        <v>0</v>
      </c>
      <c r="J41" s="428">
        <v>0</v>
      </c>
      <c r="K41" s="428">
        <v>0</v>
      </c>
      <c r="L41" s="428">
        <v>5.2631578947368418E-2</v>
      </c>
      <c r="M41" s="428">
        <v>2.86E-2</v>
      </c>
      <c r="N41" s="428">
        <v>0</v>
      </c>
    </row>
    <row r="42" spans="2:25" ht="20.25" customHeight="1" thickBot="1" x14ac:dyDescent="0.3">
      <c r="B42" s="686"/>
      <c r="C42" s="686"/>
      <c r="D42" s="715" t="s">
        <v>59</v>
      </c>
      <c r="E42" s="715"/>
      <c r="F42" s="715"/>
      <c r="G42" s="428">
        <v>0.37140000000000001</v>
      </c>
      <c r="H42" s="428">
        <v>0.37040000000000001</v>
      </c>
      <c r="I42" s="428">
        <f>6/26</f>
        <v>0.23076923076923078</v>
      </c>
      <c r="J42" s="428">
        <f>18/33</f>
        <v>0.54545454545454541</v>
      </c>
      <c r="K42" s="428">
        <f>5/26</f>
        <v>0.19230769230769232</v>
      </c>
      <c r="L42" s="428">
        <v>0.31578947368421051</v>
      </c>
      <c r="M42" s="428">
        <v>0.22850000000000001</v>
      </c>
      <c r="N42" s="428">
        <f>14/40</f>
        <v>0.35</v>
      </c>
    </row>
    <row r="43" spans="2:25" ht="21.75" customHeight="1" thickBot="1" x14ac:dyDescent="0.3">
      <c r="B43" s="686"/>
      <c r="C43" s="686"/>
      <c r="D43" s="715" t="s">
        <v>60</v>
      </c>
      <c r="E43" s="715"/>
      <c r="F43" s="715"/>
      <c r="G43" s="428">
        <v>5.7099999999999998E-2</v>
      </c>
      <c r="H43" s="428">
        <v>0.1111</v>
      </c>
      <c r="I43" s="428">
        <f>4/26</f>
        <v>0.15384615384615385</v>
      </c>
      <c r="J43" s="428">
        <f>1/33</f>
        <v>3.0303030303030304E-2</v>
      </c>
      <c r="K43" s="428">
        <f>1/26</f>
        <v>3.8461538461538464E-2</v>
      </c>
      <c r="L43" s="428">
        <v>5.2600000000000001E-2</v>
      </c>
      <c r="M43" s="428">
        <v>0.1429</v>
      </c>
      <c r="N43" s="428">
        <f>1/40</f>
        <v>2.5000000000000001E-2</v>
      </c>
    </row>
    <row r="44" spans="2:25" ht="24" customHeight="1" thickBot="1" x14ac:dyDescent="0.3">
      <c r="B44" s="686"/>
      <c r="C44" s="686"/>
      <c r="D44" s="715" t="s">
        <v>61</v>
      </c>
      <c r="E44" s="715"/>
      <c r="F44" s="715"/>
      <c r="G44" s="428">
        <v>8.5699999999999998E-2</v>
      </c>
      <c r="H44" s="428">
        <v>0</v>
      </c>
      <c r="I44" s="428">
        <f>1/26</f>
        <v>3.8461538461538464E-2</v>
      </c>
      <c r="J44" s="428">
        <f>1/33</f>
        <v>3.0303030303030304E-2</v>
      </c>
      <c r="K44" s="428">
        <v>0</v>
      </c>
      <c r="L44" s="428">
        <v>0</v>
      </c>
      <c r="M44" s="428">
        <v>0</v>
      </c>
      <c r="N44" s="428">
        <f>2/40</f>
        <v>0.05</v>
      </c>
    </row>
    <row r="45" spans="2:25" ht="15.75" customHeight="1" thickBot="1" x14ac:dyDescent="0.3">
      <c r="B45" s="687"/>
      <c r="C45" s="687"/>
      <c r="D45" s="713" t="s">
        <v>62</v>
      </c>
      <c r="E45" s="713"/>
      <c r="F45" s="713"/>
      <c r="G45" s="425">
        <v>0</v>
      </c>
      <c r="H45" s="425">
        <v>3.6999999999999998E-2</v>
      </c>
      <c r="I45" s="425">
        <v>0</v>
      </c>
      <c r="J45" s="425">
        <v>0</v>
      </c>
      <c r="K45" s="425">
        <v>0</v>
      </c>
      <c r="L45" s="425">
        <v>0</v>
      </c>
      <c r="M45" s="425">
        <v>0</v>
      </c>
      <c r="N45" s="425">
        <v>0</v>
      </c>
    </row>
    <row r="46" spans="2:25" x14ac:dyDescent="0.25">
      <c r="B46" s="21"/>
      <c r="C46" s="25"/>
      <c r="D46" s="26"/>
      <c r="E46" s="20"/>
      <c r="F46" s="20"/>
      <c r="G46" s="20"/>
      <c r="H46" s="20"/>
      <c r="I46" s="20"/>
      <c r="J46" s="20"/>
      <c r="K46" s="20"/>
      <c r="L46" s="3"/>
      <c r="M46" s="3"/>
    </row>
    <row r="47" spans="2:25" ht="21.75" customHeight="1" x14ac:dyDescent="0.25">
      <c r="B47" s="665" t="s">
        <v>2</v>
      </c>
      <c r="C47" s="665"/>
      <c r="D47" s="718" t="s">
        <v>56</v>
      </c>
      <c r="E47" s="718"/>
      <c r="F47" s="718"/>
      <c r="G47" s="410" t="s">
        <v>4</v>
      </c>
      <c r="H47" s="410" t="s">
        <v>5</v>
      </c>
      <c r="I47" s="410" t="s">
        <v>6</v>
      </c>
      <c r="J47" s="410" t="s">
        <v>7</v>
      </c>
      <c r="K47" s="410" t="s">
        <v>8</v>
      </c>
      <c r="L47" s="410" t="s">
        <v>9</v>
      </c>
      <c r="M47" s="410" t="s">
        <v>10</v>
      </c>
      <c r="N47" s="410" t="s">
        <v>11</v>
      </c>
    </row>
    <row r="48" spans="2:25" ht="21.75" customHeight="1" thickBot="1" x14ac:dyDescent="0.3">
      <c r="B48" s="709" t="s">
        <v>13</v>
      </c>
      <c r="C48" s="709"/>
      <c r="D48" s="716" t="s">
        <v>57</v>
      </c>
      <c r="E48" s="716"/>
      <c r="F48" s="716"/>
      <c r="G48" s="429">
        <v>0.60980000000000001</v>
      </c>
      <c r="H48" s="429">
        <v>0.73329999999999995</v>
      </c>
      <c r="I48" s="429">
        <v>0.54</v>
      </c>
      <c r="J48" s="429">
        <v>0.76359999999999995</v>
      </c>
      <c r="K48" s="429">
        <v>0.72580645161290325</v>
      </c>
      <c r="L48" s="429">
        <v>0.6785714285714286</v>
      </c>
      <c r="M48" s="429">
        <v>0.63492063492063489</v>
      </c>
      <c r="N48" s="429">
        <v>0.77966101694915257</v>
      </c>
    </row>
    <row r="49" spans="2:27" ht="21.75" customHeight="1" thickBot="1" x14ac:dyDescent="0.3">
      <c r="B49" s="686"/>
      <c r="C49" s="686"/>
      <c r="D49" s="715" t="s">
        <v>58</v>
      </c>
      <c r="E49" s="715"/>
      <c r="F49" s="715"/>
      <c r="G49" s="429">
        <v>2.4400000000000002E-2</v>
      </c>
      <c r="H49" s="429">
        <v>0</v>
      </c>
      <c r="I49" s="429">
        <v>0.04</v>
      </c>
      <c r="J49" s="429">
        <v>0</v>
      </c>
      <c r="K49" s="429">
        <v>1.6129032258064516E-2</v>
      </c>
      <c r="L49" s="429">
        <v>0</v>
      </c>
      <c r="M49" s="429">
        <v>4.7619047619047616E-2</v>
      </c>
      <c r="N49" s="429">
        <v>3.3898305084745763E-2</v>
      </c>
    </row>
    <row r="50" spans="2:27" ht="21.75" customHeight="1" thickBot="1" x14ac:dyDescent="0.3">
      <c r="B50" s="686"/>
      <c r="C50" s="686"/>
      <c r="D50" s="715" t="s">
        <v>59</v>
      </c>
      <c r="E50" s="715"/>
      <c r="F50" s="715"/>
      <c r="G50" s="429">
        <v>0.1951</v>
      </c>
      <c r="H50" s="429">
        <v>0.17780000000000001</v>
      </c>
      <c r="I50" s="429">
        <v>0.2</v>
      </c>
      <c r="J50" s="429">
        <v>0.21820000000000001</v>
      </c>
      <c r="K50" s="429">
        <v>0.16129032258064516</v>
      </c>
      <c r="L50" s="429">
        <v>0.19642857142857142</v>
      </c>
      <c r="M50" s="429">
        <v>0.17460317460317459</v>
      </c>
      <c r="N50" s="429">
        <v>0.11864406779661017</v>
      </c>
    </row>
    <row r="51" spans="2:27" ht="21.75" customHeight="1" thickBot="1" x14ac:dyDescent="0.3">
      <c r="B51" s="686"/>
      <c r="C51" s="686"/>
      <c r="D51" s="715" t="s">
        <v>60</v>
      </c>
      <c r="E51" s="715"/>
      <c r="F51" s="715"/>
      <c r="G51" s="429">
        <v>0.122</v>
      </c>
      <c r="H51" s="429">
        <v>6.6699999999999995E-2</v>
      </c>
      <c r="I51" s="429">
        <v>0.14000000000000001</v>
      </c>
      <c r="J51" s="429">
        <v>1.8200000000000001E-2</v>
      </c>
      <c r="K51" s="429">
        <v>8.0645161290322578E-2</v>
      </c>
      <c r="L51" s="429">
        <v>0.10714285714285714</v>
      </c>
      <c r="M51" s="429">
        <v>0.1111111111111111</v>
      </c>
      <c r="N51" s="429">
        <v>3.3898305084745763E-2</v>
      </c>
    </row>
    <row r="52" spans="2:27" ht="21.75" customHeight="1" thickBot="1" x14ac:dyDescent="0.3">
      <c r="B52" s="686"/>
      <c r="C52" s="686"/>
      <c r="D52" s="715" t="s">
        <v>61</v>
      </c>
      <c r="E52" s="715"/>
      <c r="F52" s="715"/>
      <c r="G52" s="429">
        <v>2.4400000000000002E-2</v>
      </c>
      <c r="H52" s="429">
        <v>2.2200000000000001E-2</v>
      </c>
      <c r="I52" s="429">
        <v>0.06</v>
      </c>
      <c r="J52" s="429">
        <v>0</v>
      </c>
      <c r="K52" s="429">
        <v>1.6129032258064516E-2</v>
      </c>
      <c r="L52" s="429">
        <v>1.7857142857142856E-2</v>
      </c>
      <c r="M52" s="429">
        <v>1.5873015873015872E-2</v>
      </c>
      <c r="N52" s="429">
        <v>1.6949152542372881E-2</v>
      </c>
    </row>
    <row r="53" spans="2:27" ht="21.75" customHeight="1" thickBot="1" x14ac:dyDescent="0.3">
      <c r="B53" s="687"/>
      <c r="C53" s="687"/>
      <c r="D53" s="713" t="s">
        <v>62</v>
      </c>
      <c r="E53" s="713"/>
      <c r="F53" s="713"/>
      <c r="G53" s="430">
        <v>2.4400000000000002E-2</v>
      </c>
      <c r="H53" s="430">
        <v>0</v>
      </c>
      <c r="I53" s="430">
        <v>0.02</v>
      </c>
      <c r="J53" s="430">
        <v>0</v>
      </c>
      <c r="K53" s="430">
        <v>0</v>
      </c>
      <c r="L53" s="430">
        <v>0</v>
      </c>
      <c r="M53" s="430">
        <v>1.5873015873015872E-2</v>
      </c>
      <c r="N53" s="430">
        <v>1.6949152542372881E-2</v>
      </c>
    </row>
    <row r="54" spans="2:27" x14ac:dyDescent="0.25">
      <c r="B54" s="4" t="s">
        <v>832</v>
      </c>
      <c r="D54" s="7"/>
      <c r="I54" s="4"/>
      <c r="L54" s="3"/>
      <c r="M54" s="3"/>
      <c r="T54" s="7"/>
      <c r="U54" s="7"/>
      <c r="V54" s="7"/>
      <c r="W54" s="7"/>
      <c r="X54" s="7"/>
      <c r="Y54" s="7"/>
      <c r="Z54" s="7"/>
      <c r="AA54" s="7"/>
    </row>
    <row r="55" spans="2:27" x14ac:dyDescent="0.25">
      <c r="B55" s="4" t="s">
        <v>54</v>
      </c>
      <c r="D55" s="7"/>
      <c r="I55" s="4"/>
      <c r="K55" s="8"/>
      <c r="L55" s="3"/>
      <c r="M55" s="3"/>
    </row>
    <row r="56" spans="2:27" x14ac:dyDescent="0.25">
      <c r="B56" s="9"/>
      <c r="D56" s="7"/>
      <c r="L56" s="3"/>
      <c r="M56" s="3"/>
    </row>
    <row r="57" spans="2:27" x14ac:dyDescent="0.25">
      <c r="L57" s="3"/>
      <c r="M57" s="3"/>
    </row>
    <row r="58" spans="2:27" x14ac:dyDescent="0.25">
      <c r="B58" s="719" t="s">
        <v>63</v>
      </c>
      <c r="C58" s="719"/>
      <c r="D58" s="719"/>
      <c r="E58" s="719"/>
      <c r="F58" s="719"/>
      <c r="G58" s="719"/>
      <c r="L58" s="3"/>
      <c r="M58" s="3"/>
    </row>
    <row r="59" spans="2:27" x14ac:dyDescent="0.25">
      <c r="B59" s="665" t="s">
        <v>2</v>
      </c>
      <c r="C59" s="665"/>
      <c r="D59" s="718" t="s">
        <v>56</v>
      </c>
      <c r="E59" s="718"/>
      <c r="F59" s="718"/>
      <c r="G59" s="410" t="s">
        <v>4</v>
      </c>
      <c r="H59" s="410" t="s">
        <v>5</v>
      </c>
      <c r="I59" s="410" t="s">
        <v>6</v>
      </c>
      <c r="J59" s="410" t="s">
        <v>7</v>
      </c>
      <c r="K59" s="410" t="s">
        <v>8</v>
      </c>
      <c r="L59" s="410" t="s">
        <v>9</v>
      </c>
      <c r="M59" s="410" t="s">
        <v>10</v>
      </c>
      <c r="N59" s="410" t="s">
        <v>11</v>
      </c>
    </row>
    <row r="60" spans="2:27" ht="21.75" customHeight="1" thickBot="1" x14ac:dyDescent="0.3">
      <c r="B60" s="709" t="s">
        <v>12</v>
      </c>
      <c r="C60" s="709"/>
      <c r="D60" s="716" t="s">
        <v>57</v>
      </c>
      <c r="E60" s="716"/>
      <c r="F60" s="716"/>
      <c r="G60" s="433">
        <v>5.5</v>
      </c>
      <c r="H60" s="433">
        <v>5.87</v>
      </c>
      <c r="I60" s="433">
        <v>6.11</v>
      </c>
      <c r="J60" s="433">
        <v>5.77</v>
      </c>
      <c r="K60" s="433">
        <v>5.78</v>
      </c>
      <c r="L60" s="433">
        <v>5.88</v>
      </c>
      <c r="M60" s="433">
        <v>6.23</v>
      </c>
      <c r="N60" s="433">
        <v>6.1</v>
      </c>
    </row>
    <row r="61" spans="2:27" ht="15.75" customHeight="1" thickBot="1" x14ac:dyDescent="0.3">
      <c r="B61" s="686"/>
      <c r="C61" s="686"/>
      <c r="D61" s="715" t="s">
        <v>58</v>
      </c>
      <c r="E61" s="715"/>
      <c r="F61" s="715"/>
      <c r="G61" s="434" t="s">
        <v>64</v>
      </c>
      <c r="H61" s="434">
        <v>6.76</v>
      </c>
      <c r="I61" s="434" t="s">
        <v>64</v>
      </c>
      <c r="J61" s="434" t="s">
        <v>64</v>
      </c>
      <c r="K61" s="434" t="s">
        <v>64</v>
      </c>
      <c r="L61" s="434">
        <v>5</v>
      </c>
      <c r="M61" s="434">
        <v>8.1</v>
      </c>
      <c r="N61" s="434" t="s">
        <v>64</v>
      </c>
      <c r="W61" s="10"/>
    </row>
    <row r="62" spans="2:27" ht="15.75" customHeight="1" thickBot="1" x14ac:dyDescent="0.3">
      <c r="B62" s="686"/>
      <c r="C62" s="686"/>
      <c r="D62" s="715" t="s">
        <v>59</v>
      </c>
      <c r="E62" s="715"/>
      <c r="F62" s="715"/>
      <c r="G62" s="434">
        <v>7.23</v>
      </c>
      <c r="H62" s="434">
        <v>6.73</v>
      </c>
      <c r="I62" s="434">
        <v>7.01</v>
      </c>
      <c r="J62" s="434">
        <v>7.4</v>
      </c>
      <c r="K62" s="434">
        <v>7.08</v>
      </c>
      <c r="L62" s="434">
        <v>7.25</v>
      </c>
      <c r="M62" s="434">
        <v>6.76</v>
      </c>
      <c r="N62" s="434">
        <v>7.22</v>
      </c>
    </row>
    <row r="63" spans="2:27" ht="21.75" customHeight="1" thickBot="1" x14ac:dyDescent="0.3">
      <c r="B63" s="686"/>
      <c r="C63" s="686"/>
      <c r="D63" s="715" t="s">
        <v>60</v>
      </c>
      <c r="E63" s="715"/>
      <c r="F63" s="715"/>
      <c r="G63" s="434">
        <v>5.76</v>
      </c>
      <c r="H63" s="434">
        <v>5.55</v>
      </c>
      <c r="I63" s="434">
        <v>6.38</v>
      </c>
      <c r="J63" s="434">
        <v>5.66</v>
      </c>
      <c r="K63" s="434">
        <v>6.23</v>
      </c>
      <c r="L63" s="434">
        <v>5.22</v>
      </c>
      <c r="M63" s="434">
        <v>6.24</v>
      </c>
      <c r="N63" s="434">
        <v>5.62</v>
      </c>
    </row>
    <row r="64" spans="2:27" ht="21.75" customHeight="1" thickBot="1" x14ac:dyDescent="0.3">
      <c r="B64" s="686"/>
      <c r="C64" s="686"/>
      <c r="D64" s="715" t="s">
        <v>61</v>
      </c>
      <c r="E64" s="715"/>
      <c r="F64" s="715"/>
      <c r="G64" s="434">
        <v>6.67</v>
      </c>
      <c r="H64" s="434" t="s">
        <v>64</v>
      </c>
      <c r="I64" s="434">
        <v>6.42</v>
      </c>
      <c r="J64" s="434">
        <v>7.4</v>
      </c>
      <c r="K64" s="434" t="s">
        <v>64</v>
      </c>
      <c r="L64" s="434" t="s">
        <v>64</v>
      </c>
      <c r="M64" s="434" t="s">
        <v>64</v>
      </c>
      <c r="N64" s="434">
        <v>7.39</v>
      </c>
      <c r="W64" s="10"/>
    </row>
    <row r="65" spans="2:14" ht="21.75" customHeight="1" thickBot="1" x14ac:dyDescent="0.3">
      <c r="B65" s="686"/>
      <c r="C65" s="686"/>
      <c r="D65" s="713" t="s">
        <v>62</v>
      </c>
      <c r="E65" s="713"/>
      <c r="F65" s="713"/>
      <c r="G65" s="435" t="s">
        <v>64</v>
      </c>
      <c r="H65" s="435">
        <v>6.16</v>
      </c>
      <c r="I65" s="435" t="s">
        <v>64</v>
      </c>
      <c r="J65" s="435" t="s">
        <v>64</v>
      </c>
      <c r="K65" s="435" t="s">
        <v>64</v>
      </c>
      <c r="L65" s="435" t="s">
        <v>64</v>
      </c>
      <c r="M65" s="435" t="s">
        <v>64</v>
      </c>
      <c r="N65" s="435" t="s">
        <v>64</v>
      </c>
    </row>
    <row r="66" spans="2:14" ht="21.75" customHeight="1" thickBot="1" x14ac:dyDescent="0.3">
      <c r="B66" s="686"/>
      <c r="C66" s="686"/>
      <c r="D66" s="717"/>
      <c r="E66" s="717"/>
      <c r="F66" s="717"/>
      <c r="G66" s="436"/>
      <c r="H66" s="437"/>
      <c r="I66" s="437"/>
      <c r="J66" s="437"/>
      <c r="K66" s="437"/>
      <c r="L66" s="437"/>
      <c r="M66" s="437"/>
      <c r="N66" s="437"/>
    </row>
    <row r="67" spans="2:14" ht="15.75" customHeight="1" thickBot="1" x14ac:dyDescent="0.3">
      <c r="B67" s="686"/>
      <c r="C67" s="686"/>
      <c r="D67" s="714" t="s">
        <v>65</v>
      </c>
      <c r="E67" s="714"/>
      <c r="F67" s="714"/>
      <c r="G67" s="434">
        <v>6.3</v>
      </c>
      <c r="H67" s="434">
        <v>6.21</v>
      </c>
      <c r="I67" s="434">
        <v>6.48</v>
      </c>
      <c r="J67" s="434">
        <v>6.56</v>
      </c>
      <c r="K67" s="434">
        <v>6.3633333333333333</v>
      </c>
      <c r="L67" s="434">
        <v>6.23</v>
      </c>
      <c r="M67" s="434">
        <v>6.83</v>
      </c>
      <c r="N67" s="434">
        <v>6.54</v>
      </c>
    </row>
    <row r="68" spans="2:14" ht="23.25" customHeight="1" thickBot="1" x14ac:dyDescent="0.3">
      <c r="B68" s="687"/>
      <c r="C68" s="687"/>
      <c r="D68" s="713" t="s">
        <v>66</v>
      </c>
      <c r="E68" s="713"/>
      <c r="F68" s="713"/>
      <c r="G68" s="435">
        <v>5</v>
      </c>
      <c r="H68" s="435">
        <v>5</v>
      </c>
      <c r="I68" s="435">
        <v>5</v>
      </c>
      <c r="J68" s="435">
        <v>5</v>
      </c>
      <c r="K68" s="435">
        <v>5</v>
      </c>
      <c r="L68" s="435">
        <v>5</v>
      </c>
      <c r="M68" s="435">
        <v>5</v>
      </c>
      <c r="N68" s="435">
        <v>5</v>
      </c>
    </row>
    <row r="69" spans="2:14" x14ac:dyDescent="0.25">
      <c r="L69" s="3"/>
      <c r="M69" s="3"/>
    </row>
    <row r="70" spans="2:14" x14ac:dyDescent="0.25">
      <c r="B70" s="665" t="s">
        <v>2</v>
      </c>
      <c r="C70" s="665"/>
      <c r="D70" s="718" t="s">
        <v>56</v>
      </c>
      <c r="E70" s="718"/>
      <c r="F70" s="718"/>
      <c r="G70" s="410" t="s">
        <v>4</v>
      </c>
      <c r="H70" s="410" t="s">
        <v>5</v>
      </c>
      <c r="I70" s="410" t="s">
        <v>6</v>
      </c>
      <c r="J70" s="410" t="s">
        <v>7</v>
      </c>
      <c r="K70" s="410" t="s">
        <v>8</v>
      </c>
      <c r="L70" s="410" t="s">
        <v>9</v>
      </c>
      <c r="M70" s="410" t="s">
        <v>10</v>
      </c>
      <c r="N70" s="410" t="s">
        <v>11</v>
      </c>
    </row>
    <row r="71" spans="2:14" ht="21.75" customHeight="1" thickBot="1" x14ac:dyDescent="0.3">
      <c r="B71" s="709" t="s">
        <v>13</v>
      </c>
      <c r="C71" s="709"/>
      <c r="D71" s="716" t="s">
        <v>57</v>
      </c>
      <c r="E71" s="716"/>
      <c r="F71" s="716"/>
      <c r="G71" s="433">
        <v>5.66</v>
      </c>
      <c r="H71" s="433">
        <v>5.61</v>
      </c>
      <c r="I71" s="433">
        <v>6.33</v>
      </c>
      <c r="J71" s="433">
        <v>5.87</v>
      </c>
      <c r="K71" s="433">
        <v>5.74</v>
      </c>
      <c r="L71" s="433">
        <v>5.73</v>
      </c>
      <c r="M71" s="433">
        <v>6.56</v>
      </c>
      <c r="N71" s="433">
        <v>6.0313043478260866</v>
      </c>
    </row>
    <row r="72" spans="2:14" ht="15.75" customHeight="1" thickBot="1" x14ac:dyDescent="0.3">
      <c r="B72" s="686"/>
      <c r="C72" s="686"/>
      <c r="D72" s="715" t="s">
        <v>58</v>
      </c>
      <c r="E72" s="715"/>
      <c r="F72" s="715"/>
      <c r="G72" s="434">
        <v>6.61</v>
      </c>
      <c r="H72" s="434" t="s">
        <v>64</v>
      </c>
      <c r="I72" s="434">
        <v>6.86</v>
      </c>
      <c r="J72" s="434" t="s">
        <v>64</v>
      </c>
      <c r="K72" s="434">
        <v>7.78</v>
      </c>
      <c r="L72" s="434"/>
      <c r="M72" s="434">
        <v>7.75</v>
      </c>
      <c r="N72" s="434">
        <v>7.5850000000000009</v>
      </c>
    </row>
    <row r="73" spans="2:14" ht="15.75" customHeight="1" thickBot="1" x14ac:dyDescent="0.3">
      <c r="B73" s="686"/>
      <c r="C73" s="686"/>
      <c r="D73" s="715" t="s">
        <v>59</v>
      </c>
      <c r="E73" s="715"/>
      <c r="F73" s="715"/>
      <c r="G73" s="434">
        <v>6.35</v>
      </c>
      <c r="H73" s="434">
        <v>6.74</v>
      </c>
      <c r="I73" s="434">
        <v>7.17</v>
      </c>
      <c r="J73" s="434">
        <v>6.91</v>
      </c>
      <c r="K73" s="434">
        <v>7.3019000000000007</v>
      </c>
      <c r="L73" s="434">
        <v>7.05</v>
      </c>
      <c r="M73" s="434">
        <v>7.16</v>
      </c>
      <c r="N73" s="434">
        <v>6.9185714285714282</v>
      </c>
    </row>
    <row r="74" spans="2:14" ht="21.75" customHeight="1" thickBot="1" x14ac:dyDescent="0.3">
      <c r="B74" s="686"/>
      <c r="C74" s="686"/>
      <c r="D74" s="715" t="s">
        <v>60</v>
      </c>
      <c r="E74" s="715"/>
      <c r="F74" s="715"/>
      <c r="G74" s="434">
        <v>5.29</v>
      </c>
      <c r="H74" s="434">
        <v>5.83</v>
      </c>
      <c r="I74" s="434">
        <v>6.44</v>
      </c>
      <c r="J74" s="434" t="s">
        <v>64</v>
      </c>
      <c r="K74" s="434">
        <v>5.7549999999999999</v>
      </c>
      <c r="L74" s="434">
        <v>5.68</v>
      </c>
      <c r="M74" s="434">
        <v>5.97</v>
      </c>
      <c r="N74" s="434">
        <v>5.8250000000000002</v>
      </c>
    </row>
    <row r="75" spans="2:14" ht="21.75" customHeight="1" thickBot="1" x14ac:dyDescent="0.3">
      <c r="B75" s="686"/>
      <c r="C75" s="686"/>
      <c r="D75" s="715" t="s">
        <v>61</v>
      </c>
      <c r="E75" s="715"/>
      <c r="F75" s="715"/>
      <c r="G75" s="434">
        <v>6.17</v>
      </c>
      <c r="H75" s="434">
        <v>7.45</v>
      </c>
      <c r="I75" s="434">
        <v>5.59</v>
      </c>
      <c r="J75" s="434">
        <v>6.11</v>
      </c>
      <c r="K75" s="434">
        <v>6.2</v>
      </c>
      <c r="L75" s="434">
        <v>8.36</v>
      </c>
      <c r="M75" s="434">
        <v>6.57</v>
      </c>
      <c r="N75" s="434">
        <v>7.98</v>
      </c>
    </row>
    <row r="76" spans="2:14" ht="15.75" customHeight="1" thickBot="1" x14ac:dyDescent="0.3">
      <c r="B76" s="686"/>
      <c r="C76" s="686"/>
      <c r="D76" s="713" t="s">
        <v>62</v>
      </c>
      <c r="E76" s="713"/>
      <c r="F76" s="713"/>
      <c r="G76" s="435">
        <v>5.0599999999999996</v>
      </c>
      <c r="H76" s="435" t="s">
        <v>64</v>
      </c>
      <c r="I76" s="435">
        <v>7.11</v>
      </c>
      <c r="J76" s="435" t="s">
        <v>64</v>
      </c>
      <c r="K76" s="435" t="s">
        <v>64</v>
      </c>
      <c r="L76" s="435" t="s">
        <v>64</v>
      </c>
      <c r="M76" s="435">
        <v>5</v>
      </c>
      <c r="N76" s="435">
        <v>8.25</v>
      </c>
    </row>
    <row r="77" spans="2:14" ht="15.75" thickBot="1" x14ac:dyDescent="0.3">
      <c r="B77" s="686"/>
      <c r="C77" s="686"/>
      <c r="D77" s="717"/>
      <c r="E77" s="717"/>
      <c r="F77" s="717"/>
      <c r="G77" s="436"/>
      <c r="H77" s="437"/>
      <c r="I77" s="437"/>
      <c r="J77" s="437"/>
      <c r="K77" s="437"/>
      <c r="L77" s="437"/>
      <c r="M77" s="437"/>
      <c r="N77" s="437"/>
    </row>
    <row r="78" spans="2:14" ht="15.75" customHeight="1" thickBot="1" x14ac:dyDescent="0.3">
      <c r="B78" s="686"/>
      <c r="C78" s="686"/>
      <c r="D78" s="714" t="s">
        <v>65</v>
      </c>
      <c r="E78" s="714"/>
      <c r="F78" s="714"/>
      <c r="G78" s="434">
        <v>5.86</v>
      </c>
      <c r="H78" s="434">
        <v>6.41</v>
      </c>
      <c r="I78" s="434">
        <v>6.58</v>
      </c>
      <c r="J78" s="434">
        <v>6.3</v>
      </c>
      <c r="K78" s="434">
        <v>6.71</v>
      </c>
      <c r="L78" s="434">
        <v>6.55</v>
      </c>
      <c r="M78" s="434">
        <v>6.63</v>
      </c>
      <c r="N78" s="434">
        <v>6.25</v>
      </c>
    </row>
    <row r="79" spans="2:14" ht="21.75" customHeight="1" thickBot="1" x14ac:dyDescent="0.3">
      <c r="B79" s="687"/>
      <c r="C79" s="687"/>
      <c r="D79" s="713" t="s">
        <v>66</v>
      </c>
      <c r="E79" s="713"/>
      <c r="F79" s="713"/>
      <c r="G79" s="435">
        <v>5</v>
      </c>
      <c r="H79" s="435">
        <v>5.04</v>
      </c>
      <c r="I79" s="435">
        <v>5.45</v>
      </c>
      <c r="J79" s="435">
        <v>5</v>
      </c>
      <c r="K79" s="435">
        <v>5.08</v>
      </c>
      <c r="L79" s="435">
        <v>5</v>
      </c>
      <c r="M79" s="435">
        <v>5</v>
      </c>
      <c r="N79" s="435">
        <v>5</v>
      </c>
    </row>
    <row r="80" spans="2:14" x14ac:dyDescent="0.25">
      <c r="B80" s="4" t="s">
        <v>832</v>
      </c>
      <c r="L80" s="3"/>
      <c r="M80" s="3"/>
    </row>
    <row r="81" spans="2:26" x14ac:dyDescent="0.25">
      <c r="B81" s="4" t="s">
        <v>54</v>
      </c>
      <c r="L81" s="3"/>
      <c r="M81" s="3"/>
    </row>
    <row r="82" spans="2:26" x14ac:dyDescent="0.25">
      <c r="B82" s="9"/>
      <c r="L82" s="3"/>
      <c r="M82" s="3"/>
    </row>
    <row r="83" spans="2:26" x14ac:dyDescent="0.25">
      <c r="L83" s="3"/>
      <c r="M83" s="3"/>
    </row>
    <row r="84" spans="2:26" ht="26.25" customHeight="1" x14ac:dyDescent="0.25">
      <c r="B84" s="722" t="s">
        <v>67</v>
      </c>
      <c r="C84" s="722"/>
      <c r="D84" s="722"/>
      <c r="E84" s="722"/>
      <c r="F84" s="722"/>
      <c r="G84" s="722"/>
      <c r="H84" s="722"/>
      <c r="I84" s="722"/>
      <c r="J84" s="722"/>
      <c r="K84" s="722"/>
      <c r="L84" s="3"/>
      <c r="M84" s="3"/>
    </row>
    <row r="85" spans="2:26" ht="15.75" customHeight="1" x14ac:dyDescent="0.25">
      <c r="B85" s="665" t="s">
        <v>2</v>
      </c>
      <c r="C85" s="665"/>
      <c r="D85" s="718" t="s">
        <v>68</v>
      </c>
      <c r="E85" s="718"/>
      <c r="F85" s="718"/>
      <c r="G85" s="410" t="s">
        <v>4</v>
      </c>
      <c r="H85" s="410" t="s">
        <v>5</v>
      </c>
      <c r="I85" s="410" t="s">
        <v>6</v>
      </c>
      <c r="J85" s="410" t="s">
        <v>7</v>
      </c>
      <c r="K85" s="410" t="s">
        <v>8</v>
      </c>
      <c r="L85" s="665" t="s">
        <v>9</v>
      </c>
      <c r="M85" s="665" t="s">
        <v>10</v>
      </c>
      <c r="N85" s="438" t="s">
        <v>11</v>
      </c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</row>
    <row r="86" spans="2:26" ht="21" customHeight="1" thickBot="1" x14ac:dyDescent="0.3">
      <c r="B86" s="709" t="s">
        <v>12</v>
      </c>
      <c r="C86" s="709"/>
      <c r="D86" s="710" t="s">
        <v>69</v>
      </c>
      <c r="E86" s="710"/>
      <c r="F86" s="710"/>
      <c r="G86" s="439">
        <v>0</v>
      </c>
      <c r="H86" s="439">
        <v>1</v>
      </c>
      <c r="I86" s="442">
        <v>1</v>
      </c>
      <c r="J86" s="442">
        <v>1</v>
      </c>
      <c r="K86" s="442">
        <v>1</v>
      </c>
      <c r="L86" s="439">
        <v>0</v>
      </c>
      <c r="M86" s="439">
        <v>1</v>
      </c>
      <c r="N86" s="442">
        <v>2</v>
      </c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</row>
    <row r="87" spans="2:26" ht="28.5" customHeight="1" thickBot="1" x14ac:dyDescent="0.3">
      <c r="B87" s="686"/>
      <c r="C87" s="686"/>
      <c r="D87" s="711" t="s">
        <v>70</v>
      </c>
      <c r="E87" s="711"/>
      <c r="F87" s="711"/>
      <c r="G87" s="440">
        <v>15</v>
      </c>
      <c r="H87" s="440">
        <v>11</v>
      </c>
      <c r="I87" s="443">
        <v>6</v>
      </c>
      <c r="J87" s="443">
        <v>10</v>
      </c>
      <c r="K87" s="443">
        <v>3</v>
      </c>
      <c r="L87" s="440">
        <v>2</v>
      </c>
      <c r="M87" s="440">
        <v>1</v>
      </c>
      <c r="N87" s="443">
        <v>10</v>
      </c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</row>
    <row r="88" spans="2:26" ht="22.5" customHeight="1" thickBot="1" x14ac:dyDescent="0.3">
      <c r="B88" s="687"/>
      <c r="C88" s="687"/>
      <c r="D88" s="712" t="s">
        <v>71</v>
      </c>
      <c r="E88" s="712"/>
      <c r="F88" s="712"/>
      <c r="G88" s="441">
        <v>20</v>
      </c>
      <c r="H88" s="441">
        <v>15</v>
      </c>
      <c r="I88" s="444">
        <v>19</v>
      </c>
      <c r="J88" s="444">
        <v>22</v>
      </c>
      <c r="K88" s="444">
        <v>22</v>
      </c>
      <c r="L88" s="441">
        <v>17</v>
      </c>
      <c r="M88" s="441">
        <v>33</v>
      </c>
      <c r="N88" s="444">
        <v>28</v>
      </c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</row>
    <row r="89" spans="2:26" x14ac:dyDescent="0.25">
      <c r="B89" s="21"/>
      <c r="C89" s="31"/>
      <c r="D89" s="32"/>
      <c r="E89" s="32"/>
      <c r="F89" s="32"/>
      <c r="G89" s="32"/>
      <c r="H89" s="32"/>
      <c r="I89" s="32"/>
      <c r="J89" s="32"/>
      <c r="K89" s="32"/>
      <c r="L89" s="3"/>
      <c r="M89" s="3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</row>
    <row r="90" spans="2:26" x14ac:dyDescent="0.25">
      <c r="B90" s="665" t="s">
        <v>2</v>
      </c>
      <c r="C90" s="665"/>
      <c r="D90" s="718" t="s">
        <v>68</v>
      </c>
      <c r="E90" s="718"/>
      <c r="F90" s="718"/>
      <c r="G90" s="410" t="s">
        <v>4</v>
      </c>
      <c r="H90" s="410" t="s">
        <v>5</v>
      </c>
      <c r="I90" s="410" t="s">
        <v>6</v>
      </c>
      <c r="J90" s="410" t="s">
        <v>7</v>
      </c>
      <c r="K90" s="410" t="s">
        <v>8</v>
      </c>
      <c r="L90" s="665" t="s">
        <v>9</v>
      </c>
      <c r="M90" s="665" t="s">
        <v>10</v>
      </c>
      <c r="N90" s="438" t="s">
        <v>11</v>
      </c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</row>
    <row r="91" spans="2:26" ht="21.75" customHeight="1" thickBot="1" x14ac:dyDescent="0.3">
      <c r="B91" s="709" t="s">
        <v>13</v>
      </c>
      <c r="C91" s="709"/>
      <c r="D91" s="710" t="s">
        <v>69</v>
      </c>
      <c r="E91" s="710"/>
      <c r="F91" s="710"/>
      <c r="G91" s="439">
        <v>0</v>
      </c>
      <c r="H91" s="439">
        <v>0</v>
      </c>
      <c r="I91" s="442">
        <v>2</v>
      </c>
      <c r="J91" s="442">
        <v>0</v>
      </c>
      <c r="K91" s="442">
        <v>0</v>
      </c>
      <c r="L91" s="439">
        <v>0</v>
      </c>
      <c r="M91" s="439">
        <v>0</v>
      </c>
      <c r="N91" s="442">
        <v>0</v>
      </c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</row>
    <row r="92" spans="2:26" ht="21.75" customHeight="1" thickBot="1" x14ac:dyDescent="0.3">
      <c r="B92" s="686"/>
      <c r="C92" s="686"/>
      <c r="D92" s="711" t="s">
        <v>70</v>
      </c>
      <c r="E92" s="711"/>
      <c r="F92" s="711"/>
      <c r="G92" s="440">
        <v>3</v>
      </c>
      <c r="H92" s="440">
        <v>2</v>
      </c>
      <c r="I92" s="443">
        <v>6</v>
      </c>
      <c r="J92" s="443">
        <v>1</v>
      </c>
      <c r="K92" s="443">
        <v>2</v>
      </c>
      <c r="L92" s="440">
        <v>2</v>
      </c>
      <c r="M92" s="440">
        <v>6</v>
      </c>
      <c r="N92" s="443">
        <v>3</v>
      </c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</row>
    <row r="93" spans="2:26" ht="21.75" customHeight="1" thickBot="1" x14ac:dyDescent="0.3">
      <c r="B93" s="687"/>
      <c r="C93" s="687"/>
      <c r="D93" s="712" t="s">
        <v>71</v>
      </c>
      <c r="E93" s="712"/>
      <c r="F93" s="712"/>
      <c r="G93" s="441">
        <v>38</v>
      </c>
      <c r="H93" s="441">
        <v>43</v>
      </c>
      <c r="I93" s="444">
        <v>42</v>
      </c>
      <c r="J93" s="444">
        <v>54</v>
      </c>
      <c r="K93" s="444">
        <v>60</v>
      </c>
      <c r="L93" s="441">
        <v>54</v>
      </c>
      <c r="M93" s="441">
        <v>57</v>
      </c>
      <c r="N93" s="444">
        <v>56</v>
      </c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</row>
    <row r="94" spans="2:26" ht="15.75" customHeight="1" x14ac:dyDescent="0.25">
      <c r="B94" s="4" t="s">
        <v>832</v>
      </c>
      <c r="L94" s="3"/>
      <c r="M94" s="3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</row>
    <row r="95" spans="2:26" x14ac:dyDescent="0.25">
      <c r="B95" s="4" t="s">
        <v>54</v>
      </c>
      <c r="L95" s="3"/>
      <c r="M95" s="3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</row>
    <row r="96" spans="2:26" x14ac:dyDescent="0.25">
      <c r="B96" s="9"/>
      <c r="L96" s="3"/>
      <c r="M96" s="3"/>
    </row>
    <row r="97" spans="2:13" x14ac:dyDescent="0.25">
      <c r="L97" s="3"/>
      <c r="M97" s="3"/>
    </row>
    <row r="98" spans="2:13" x14ac:dyDescent="0.25">
      <c r="B98" s="2" t="s">
        <v>72</v>
      </c>
      <c r="L98" s="3"/>
      <c r="M98" s="3"/>
    </row>
    <row r="99" spans="2:13" ht="21.75" customHeight="1" x14ac:dyDescent="0.25">
      <c r="B99" s="665" t="s">
        <v>2</v>
      </c>
      <c r="C99" s="665"/>
      <c r="D99" s="665" t="s">
        <v>73</v>
      </c>
      <c r="E99" s="665"/>
      <c r="F99" s="410" t="s">
        <v>4</v>
      </c>
      <c r="G99" s="410" t="s">
        <v>5</v>
      </c>
      <c r="H99" s="410" t="s">
        <v>6</v>
      </c>
      <c r="I99" s="410" t="s">
        <v>7</v>
      </c>
      <c r="J99" s="410" t="s">
        <v>8</v>
      </c>
      <c r="K99" s="410" t="s">
        <v>9</v>
      </c>
      <c r="L99" s="410" t="s">
        <v>10</v>
      </c>
      <c r="M99" s="410" t="s">
        <v>11</v>
      </c>
    </row>
    <row r="100" spans="2:13" ht="13.5" customHeight="1" thickBot="1" x14ac:dyDescent="0.3">
      <c r="B100" s="686" t="s">
        <v>12</v>
      </c>
      <c r="C100" s="686"/>
      <c r="D100" s="706" t="s">
        <v>74</v>
      </c>
      <c r="E100" s="706"/>
      <c r="F100" s="27">
        <v>18</v>
      </c>
      <c r="G100" s="27">
        <v>11</v>
      </c>
      <c r="H100" s="27">
        <v>8</v>
      </c>
      <c r="I100" s="27">
        <v>13</v>
      </c>
      <c r="J100" s="27">
        <v>15</v>
      </c>
      <c r="K100" s="27">
        <v>10</v>
      </c>
      <c r="L100" s="27">
        <v>15</v>
      </c>
      <c r="M100" s="27">
        <v>14</v>
      </c>
    </row>
    <row r="101" spans="2:13" ht="15.75" thickBot="1" x14ac:dyDescent="0.3">
      <c r="B101" s="686"/>
      <c r="C101" s="686"/>
      <c r="D101" s="707" t="s">
        <v>75</v>
      </c>
      <c r="E101" s="707"/>
      <c r="F101" s="27">
        <v>8</v>
      </c>
      <c r="G101" s="27">
        <v>14</v>
      </c>
      <c r="H101" s="27">
        <v>13</v>
      </c>
      <c r="I101" s="27">
        <v>5</v>
      </c>
      <c r="J101" s="27">
        <v>7</v>
      </c>
      <c r="K101" s="27">
        <v>4</v>
      </c>
      <c r="L101" s="27">
        <v>12</v>
      </c>
      <c r="M101" s="27">
        <v>14</v>
      </c>
    </row>
    <row r="102" spans="2:13" ht="15.75" thickBot="1" x14ac:dyDescent="0.3">
      <c r="B102" s="686"/>
      <c r="C102" s="686"/>
      <c r="D102" s="707" t="s">
        <v>76</v>
      </c>
      <c r="E102" s="707"/>
      <c r="F102" s="27">
        <v>5</v>
      </c>
      <c r="G102" s="27">
        <v>2</v>
      </c>
      <c r="H102" s="27">
        <v>5</v>
      </c>
      <c r="I102" s="27">
        <v>10</v>
      </c>
      <c r="J102" s="27">
        <v>4</v>
      </c>
      <c r="K102" s="27">
        <v>4</v>
      </c>
      <c r="L102" s="27">
        <v>5</v>
      </c>
      <c r="M102" s="432">
        <v>9</v>
      </c>
    </row>
    <row r="103" spans="2:13" ht="15.75" thickBot="1" x14ac:dyDescent="0.3">
      <c r="B103" s="686"/>
      <c r="C103" s="686"/>
      <c r="D103" s="707" t="s">
        <v>77</v>
      </c>
      <c r="E103" s="707"/>
      <c r="F103" s="27">
        <v>3</v>
      </c>
      <c r="G103" s="27">
        <v>0</v>
      </c>
      <c r="H103" s="27">
        <v>0</v>
      </c>
      <c r="I103" s="27">
        <v>5</v>
      </c>
      <c r="J103" s="27">
        <v>0</v>
      </c>
      <c r="K103" s="27">
        <v>1</v>
      </c>
      <c r="L103" s="27">
        <v>2</v>
      </c>
      <c r="M103" s="432">
        <v>3</v>
      </c>
    </row>
    <row r="104" spans="2:13" ht="15.75" thickBot="1" x14ac:dyDescent="0.3">
      <c r="B104" s="686"/>
      <c r="C104" s="686"/>
      <c r="D104" s="707" t="s">
        <v>78</v>
      </c>
      <c r="E104" s="707"/>
      <c r="F104" s="27">
        <v>1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</row>
    <row r="105" spans="2:13" ht="15.75" thickBot="1" x14ac:dyDescent="0.3">
      <c r="B105" s="687"/>
      <c r="C105" s="687"/>
      <c r="D105" s="708" t="s">
        <v>79</v>
      </c>
      <c r="E105" s="708"/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</row>
    <row r="106" spans="2:13" x14ac:dyDescent="0.25">
      <c r="E106" s="15"/>
      <c r="F106" s="15"/>
      <c r="G106" s="15"/>
      <c r="H106" s="15"/>
      <c r="I106" s="15"/>
      <c r="J106" s="15"/>
      <c r="K106" s="15"/>
      <c r="L106" s="3"/>
      <c r="M106" s="3"/>
    </row>
    <row r="107" spans="2:13" x14ac:dyDescent="0.25">
      <c r="B107" s="665" t="s">
        <v>2</v>
      </c>
      <c r="C107" s="665"/>
      <c r="D107" s="665" t="s">
        <v>73</v>
      </c>
      <c r="E107" s="665"/>
      <c r="F107" s="410" t="s">
        <v>4</v>
      </c>
      <c r="G107" s="410" t="s">
        <v>5</v>
      </c>
      <c r="H107" s="410" t="s">
        <v>6</v>
      </c>
      <c r="I107" s="410" t="s">
        <v>7</v>
      </c>
      <c r="J107" s="410" t="s">
        <v>8</v>
      </c>
      <c r="K107" s="410" t="s">
        <v>9</v>
      </c>
      <c r="L107" s="410" t="s">
        <v>10</v>
      </c>
      <c r="M107" s="410" t="s">
        <v>11</v>
      </c>
    </row>
    <row r="108" spans="2:13" ht="13.5" customHeight="1" thickBot="1" x14ac:dyDescent="0.3">
      <c r="B108" s="709" t="s">
        <v>13</v>
      </c>
      <c r="C108" s="709"/>
      <c r="D108" s="706" t="s">
        <v>74</v>
      </c>
      <c r="E108" s="706"/>
      <c r="F108" s="27">
        <v>25</v>
      </c>
      <c r="G108" s="27">
        <v>30</v>
      </c>
      <c r="H108" s="27">
        <v>19</v>
      </c>
      <c r="I108" s="27">
        <v>46</v>
      </c>
      <c r="J108" s="27">
        <v>31</v>
      </c>
      <c r="K108" s="27">
        <v>35</v>
      </c>
      <c r="L108" s="27">
        <v>18</v>
      </c>
      <c r="M108" s="27">
        <v>35</v>
      </c>
    </row>
    <row r="109" spans="2:13" ht="15.75" thickBot="1" x14ac:dyDescent="0.3">
      <c r="B109" s="686"/>
      <c r="C109" s="686"/>
      <c r="D109" s="707" t="s">
        <v>75</v>
      </c>
      <c r="E109" s="707"/>
      <c r="F109" s="27">
        <v>12</v>
      </c>
      <c r="G109" s="27">
        <v>11</v>
      </c>
      <c r="H109" s="27">
        <v>15</v>
      </c>
      <c r="I109" s="27">
        <v>6</v>
      </c>
      <c r="J109" s="27">
        <v>22</v>
      </c>
      <c r="K109" s="27">
        <v>9</v>
      </c>
      <c r="L109" s="27">
        <v>24</v>
      </c>
      <c r="M109" s="27">
        <v>10</v>
      </c>
    </row>
    <row r="110" spans="2:13" ht="15.75" thickBot="1" x14ac:dyDescent="0.3">
      <c r="B110" s="686"/>
      <c r="C110" s="686"/>
      <c r="D110" s="707" t="s">
        <v>76</v>
      </c>
      <c r="E110" s="707"/>
      <c r="F110" s="27">
        <v>3</v>
      </c>
      <c r="G110" s="27">
        <v>4</v>
      </c>
      <c r="H110" s="27">
        <v>14</v>
      </c>
      <c r="I110" s="27">
        <v>3</v>
      </c>
      <c r="J110" s="27">
        <v>7</v>
      </c>
      <c r="K110" s="27">
        <v>9</v>
      </c>
      <c r="L110" s="27">
        <v>15</v>
      </c>
      <c r="M110" s="432">
        <v>10</v>
      </c>
    </row>
    <row r="111" spans="2:13" ht="15.75" thickBot="1" x14ac:dyDescent="0.3">
      <c r="B111" s="686"/>
      <c r="C111" s="686"/>
      <c r="D111" s="707" t="s">
        <v>77</v>
      </c>
      <c r="E111" s="707"/>
      <c r="F111" s="27">
        <v>1</v>
      </c>
      <c r="G111" s="27">
        <v>0</v>
      </c>
      <c r="H111" s="27">
        <v>2</v>
      </c>
      <c r="I111" s="27">
        <v>0</v>
      </c>
      <c r="J111" s="27">
        <v>2</v>
      </c>
      <c r="K111" s="27">
        <v>3</v>
      </c>
      <c r="L111" s="27">
        <v>5</v>
      </c>
      <c r="M111" s="432">
        <v>4</v>
      </c>
    </row>
    <row r="112" spans="2:13" ht="15.75" thickBot="1" x14ac:dyDescent="0.3">
      <c r="B112" s="686"/>
      <c r="C112" s="686"/>
      <c r="D112" s="707" t="s">
        <v>78</v>
      </c>
      <c r="E112" s="707"/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1</v>
      </c>
      <c r="M112" s="27">
        <v>0</v>
      </c>
    </row>
    <row r="113" spans="2:29" ht="15.75" thickBot="1" x14ac:dyDescent="0.3">
      <c r="B113" s="687"/>
      <c r="C113" s="687"/>
      <c r="D113" s="708" t="s">
        <v>79</v>
      </c>
      <c r="E113" s="708"/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</row>
    <row r="114" spans="2:29" x14ac:dyDescent="0.25">
      <c r="B114" s="685" t="s">
        <v>832</v>
      </c>
      <c r="C114" s="685"/>
    </row>
    <row r="115" spans="2:29" x14ac:dyDescent="0.25">
      <c r="B115" s="684" t="s">
        <v>54</v>
      </c>
      <c r="C115" s="684"/>
    </row>
    <row r="116" spans="2:29" x14ac:dyDescent="0.25">
      <c r="B116" s="683"/>
      <c r="C116" s="683"/>
      <c r="W116" s="11"/>
    </row>
    <row r="117" spans="2:29" x14ac:dyDescent="0.25">
      <c r="B117" s="683"/>
      <c r="C117" s="683"/>
      <c r="Y117" s="12"/>
    </row>
    <row r="118" spans="2:29" ht="12.75" customHeight="1" x14ac:dyDescent="0.25">
      <c r="B118" s="2" t="s">
        <v>1167</v>
      </c>
      <c r="C118" s="2"/>
      <c r="W118" s="13"/>
      <c r="X118" s="14"/>
      <c r="Y118" s="15"/>
      <c r="AC118" s="398"/>
    </row>
    <row r="119" spans="2:29" x14ac:dyDescent="0.25">
      <c r="B119" s="666" t="s">
        <v>2</v>
      </c>
      <c r="C119" s="666"/>
      <c r="D119" s="666" t="s">
        <v>81</v>
      </c>
      <c r="E119" s="704" t="s">
        <v>51</v>
      </c>
      <c r="F119" s="704"/>
      <c r="G119" s="704"/>
      <c r="H119" s="704"/>
      <c r="I119" s="704"/>
      <c r="J119" s="704"/>
      <c r="K119" s="704"/>
      <c r="L119" s="704"/>
      <c r="M119" s="704"/>
      <c r="N119" s="704"/>
      <c r="O119" s="704"/>
      <c r="P119" s="704"/>
      <c r="Q119" s="704"/>
      <c r="R119" s="704"/>
      <c r="S119" s="704"/>
      <c r="T119" s="704"/>
      <c r="U119" s="704"/>
      <c r="V119" s="704"/>
      <c r="W119" s="704"/>
      <c r="X119" s="704"/>
      <c r="Y119" s="704"/>
      <c r="Z119" s="704"/>
      <c r="AA119" s="704"/>
      <c r="AB119" s="704"/>
      <c r="AC119" s="398"/>
    </row>
    <row r="120" spans="2:29" x14ac:dyDescent="0.25">
      <c r="B120" s="667"/>
      <c r="C120" s="667"/>
      <c r="D120" s="667"/>
      <c r="E120" s="705" t="s">
        <v>4</v>
      </c>
      <c r="F120" s="705"/>
      <c r="G120" s="705"/>
      <c r="H120" s="700" t="s">
        <v>5</v>
      </c>
      <c r="I120" s="700"/>
      <c r="J120" s="700"/>
      <c r="K120" s="700" t="s">
        <v>6</v>
      </c>
      <c r="L120" s="700"/>
      <c r="M120" s="700"/>
      <c r="N120" s="403"/>
      <c r="O120" s="700"/>
      <c r="P120" s="700"/>
      <c r="Q120" s="700" t="s">
        <v>8</v>
      </c>
      <c r="R120" s="700"/>
      <c r="S120" s="700"/>
      <c r="T120" s="700" t="s">
        <v>9</v>
      </c>
      <c r="U120" s="700"/>
      <c r="V120" s="700"/>
      <c r="W120" s="700" t="s">
        <v>10</v>
      </c>
      <c r="X120" s="700"/>
      <c r="Y120" s="700"/>
      <c r="Z120" s="700" t="s">
        <v>11</v>
      </c>
      <c r="AA120" s="700"/>
      <c r="AB120" s="700"/>
      <c r="AC120" s="398"/>
    </row>
    <row r="121" spans="2:29" ht="15.75" customHeight="1" x14ac:dyDescent="0.25">
      <c r="B121" s="698" t="s">
        <v>12</v>
      </c>
      <c r="C121" s="698"/>
      <c r="D121" s="645"/>
      <c r="E121" s="469" t="s">
        <v>90</v>
      </c>
      <c r="F121" s="469" t="s">
        <v>1263</v>
      </c>
      <c r="G121" s="469" t="s">
        <v>1264</v>
      </c>
      <c r="H121" s="469" t="s">
        <v>90</v>
      </c>
      <c r="I121" s="469" t="s">
        <v>1263</v>
      </c>
      <c r="J121" s="469" t="s">
        <v>1264</v>
      </c>
      <c r="K121" s="469" t="s">
        <v>90</v>
      </c>
      <c r="L121" s="469" t="s">
        <v>1263</v>
      </c>
      <c r="M121" s="469" t="s">
        <v>1264</v>
      </c>
      <c r="N121" s="469" t="s">
        <v>90</v>
      </c>
      <c r="O121" s="469" t="s">
        <v>1263</v>
      </c>
      <c r="P121" s="469" t="s">
        <v>1264</v>
      </c>
      <c r="Q121" s="469" t="s">
        <v>90</v>
      </c>
      <c r="R121" s="469" t="s">
        <v>1263</v>
      </c>
      <c r="S121" s="469" t="s">
        <v>1264</v>
      </c>
      <c r="T121" s="469" t="s">
        <v>90</v>
      </c>
      <c r="U121" s="469" t="s">
        <v>1263</v>
      </c>
      <c r="V121" s="469" t="s">
        <v>1264</v>
      </c>
      <c r="W121" s="469" t="s">
        <v>90</v>
      </c>
      <c r="X121" s="469" t="s">
        <v>1263</v>
      </c>
      <c r="Y121" s="469" t="s">
        <v>1264</v>
      </c>
      <c r="Z121" s="469" t="s">
        <v>90</v>
      </c>
      <c r="AA121" s="469" t="s">
        <v>1263</v>
      </c>
      <c r="AB121" s="469" t="s">
        <v>1264</v>
      </c>
      <c r="AC121" s="398"/>
    </row>
    <row r="122" spans="2:29" ht="13.5" customHeight="1" x14ac:dyDescent="0.25">
      <c r="B122" s="694"/>
      <c r="C122" s="694"/>
      <c r="D122" s="445" t="s">
        <v>83</v>
      </c>
      <c r="E122" s="450">
        <v>1</v>
      </c>
      <c r="F122" s="446">
        <v>0</v>
      </c>
      <c r="G122" s="449">
        <v>1</v>
      </c>
      <c r="H122" s="451">
        <v>7</v>
      </c>
      <c r="I122" s="446">
        <v>1</v>
      </c>
      <c r="J122" s="446">
        <v>6</v>
      </c>
      <c r="K122" s="450">
        <v>10</v>
      </c>
      <c r="L122" s="446">
        <v>3</v>
      </c>
      <c r="M122" s="449">
        <v>7</v>
      </c>
      <c r="N122" s="451">
        <v>11</v>
      </c>
      <c r="O122" s="445">
        <v>3</v>
      </c>
      <c r="P122" s="445">
        <v>8</v>
      </c>
      <c r="Q122" s="452">
        <v>15</v>
      </c>
      <c r="R122" s="445">
        <v>2</v>
      </c>
      <c r="S122" s="448">
        <v>13</v>
      </c>
      <c r="T122" s="447">
        <f>SUM(U122:V122)</f>
        <v>8</v>
      </c>
      <c r="U122" s="445">
        <v>1</v>
      </c>
      <c r="V122" s="445">
        <v>7</v>
      </c>
      <c r="W122" s="452">
        <f>SUM(X122+Y122)</f>
        <v>12</v>
      </c>
      <c r="X122" s="445">
        <v>3</v>
      </c>
      <c r="Y122" s="448">
        <v>9</v>
      </c>
      <c r="Z122" s="447">
        <v>12</v>
      </c>
      <c r="AA122" s="445">
        <v>3</v>
      </c>
      <c r="AB122" s="445">
        <v>9</v>
      </c>
      <c r="AC122" s="398"/>
    </row>
    <row r="123" spans="2:29" x14ac:dyDescent="0.25">
      <c r="B123" s="694"/>
      <c r="C123" s="694"/>
      <c r="D123" s="445">
        <v>19</v>
      </c>
      <c r="E123" s="450">
        <v>5</v>
      </c>
      <c r="F123" s="446">
        <v>0</v>
      </c>
      <c r="G123" s="449">
        <v>5</v>
      </c>
      <c r="H123" s="451">
        <v>5</v>
      </c>
      <c r="I123" s="446">
        <v>0</v>
      </c>
      <c r="J123" s="446">
        <v>5</v>
      </c>
      <c r="K123" s="450">
        <v>6</v>
      </c>
      <c r="L123" s="446">
        <v>0</v>
      </c>
      <c r="M123" s="449">
        <v>6</v>
      </c>
      <c r="N123" s="451">
        <v>2</v>
      </c>
      <c r="O123" s="445">
        <v>0</v>
      </c>
      <c r="P123" s="445">
        <v>2</v>
      </c>
      <c r="Q123" s="452">
        <v>3</v>
      </c>
      <c r="R123" s="445">
        <v>0</v>
      </c>
      <c r="S123" s="448">
        <v>3</v>
      </c>
      <c r="T123" s="447">
        <f t="shared" ref="T123:T136" si="1">SUM(U123:V123)</f>
        <v>2</v>
      </c>
      <c r="U123" s="445">
        <v>0</v>
      </c>
      <c r="V123" s="445">
        <v>2</v>
      </c>
      <c r="W123" s="452">
        <f t="shared" ref="W123:W136" si="2">SUM(X123+Y123)</f>
        <v>8</v>
      </c>
      <c r="X123" s="445">
        <v>2</v>
      </c>
      <c r="Y123" s="448">
        <v>6</v>
      </c>
      <c r="Z123" s="447">
        <v>8</v>
      </c>
      <c r="AA123" s="445">
        <v>3</v>
      </c>
      <c r="AB123" s="445">
        <v>5</v>
      </c>
      <c r="AC123" s="398"/>
    </row>
    <row r="124" spans="2:29" x14ac:dyDescent="0.25">
      <c r="B124" s="694"/>
      <c r="C124" s="694"/>
      <c r="D124" s="445">
        <v>20</v>
      </c>
      <c r="E124" s="450">
        <v>7</v>
      </c>
      <c r="F124" s="446">
        <v>0</v>
      </c>
      <c r="G124" s="449">
        <v>7</v>
      </c>
      <c r="H124" s="451">
        <v>3</v>
      </c>
      <c r="I124" s="446">
        <v>0</v>
      </c>
      <c r="J124" s="446">
        <v>3</v>
      </c>
      <c r="K124" s="450">
        <v>3</v>
      </c>
      <c r="L124" s="446">
        <v>2</v>
      </c>
      <c r="M124" s="449">
        <v>1</v>
      </c>
      <c r="N124" s="451">
        <v>3</v>
      </c>
      <c r="O124" s="445">
        <v>1</v>
      </c>
      <c r="P124" s="445">
        <v>2</v>
      </c>
      <c r="Q124" s="452">
        <v>3</v>
      </c>
      <c r="R124" s="445">
        <v>1</v>
      </c>
      <c r="S124" s="448">
        <v>2</v>
      </c>
      <c r="T124" s="447">
        <f t="shared" si="1"/>
        <v>3</v>
      </c>
      <c r="U124" s="445">
        <v>1</v>
      </c>
      <c r="V124" s="445">
        <v>2</v>
      </c>
      <c r="W124" s="452">
        <f t="shared" si="2"/>
        <v>6</v>
      </c>
      <c r="X124" s="445">
        <v>1</v>
      </c>
      <c r="Y124" s="448">
        <v>5</v>
      </c>
      <c r="Z124" s="447">
        <v>8</v>
      </c>
      <c r="AA124" s="445">
        <v>0</v>
      </c>
      <c r="AB124" s="445">
        <v>8</v>
      </c>
      <c r="AC124" s="398"/>
    </row>
    <row r="125" spans="2:29" x14ac:dyDescent="0.25">
      <c r="B125" s="694"/>
      <c r="C125" s="694"/>
      <c r="D125" s="445">
        <v>21</v>
      </c>
      <c r="E125" s="450">
        <v>5</v>
      </c>
      <c r="F125" s="446">
        <v>0</v>
      </c>
      <c r="G125" s="449">
        <v>5</v>
      </c>
      <c r="H125" s="451">
        <v>4</v>
      </c>
      <c r="I125" s="446">
        <v>0</v>
      </c>
      <c r="J125" s="446">
        <v>4</v>
      </c>
      <c r="K125" s="450">
        <v>2</v>
      </c>
      <c r="L125" s="446">
        <v>0</v>
      </c>
      <c r="M125" s="449">
        <v>2</v>
      </c>
      <c r="N125" s="451">
        <v>4</v>
      </c>
      <c r="O125" s="445">
        <v>0</v>
      </c>
      <c r="P125" s="445">
        <v>4</v>
      </c>
      <c r="Q125" s="452">
        <v>2</v>
      </c>
      <c r="R125" s="445">
        <v>0</v>
      </c>
      <c r="S125" s="448">
        <v>2</v>
      </c>
      <c r="T125" s="447">
        <f t="shared" si="1"/>
        <v>1</v>
      </c>
      <c r="U125" s="445">
        <v>0</v>
      </c>
      <c r="V125" s="445">
        <v>1</v>
      </c>
      <c r="W125" s="452">
        <f t="shared" si="2"/>
        <v>4</v>
      </c>
      <c r="X125" s="445">
        <v>1</v>
      </c>
      <c r="Y125" s="448">
        <v>3</v>
      </c>
      <c r="Z125" s="447">
        <v>5</v>
      </c>
      <c r="AA125" s="445">
        <v>1</v>
      </c>
      <c r="AB125" s="445">
        <v>4</v>
      </c>
      <c r="AC125" s="398"/>
    </row>
    <row r="126" spans="2:29" x14ac:dyDescent="0.25">
      <c r="B126" s="694"/>
      <c r="C126" s="694"/>
      <c r="D126" s="445">
        <v>22</v>
      </c>
      <c r="E126" s="450">
        <v>5</v>
      </c>
      <c r="F126" s="446">
        <v>0</v>
      </c>
      <c r="G126" s="449">
        <v>5</v>
      </c>
      <c r="H126" s="451">
        <v>2</v>
      </c>
      <c r="I126" s="446">
        <v>0</v>
      </c>
      <c r="J126" s="446">
        <v>2</v>
      </c>
      <c r="K126" s="450">
        <v>2</v>
      </c>
      <c r="L126" s="446">
        <v>0</v>
      </c>
      <c r="M126" s="449">
        <v>2</v>
      </c>
      <c r="N126" s="451">
        <v>5</v>
      </c>
      <c r="O126" s="445">
        <v>0</v>
      </c>
      <c r="P126" s="445">
        <v>5</v>
      </c>
      <c r="Q126" s="452">
        <v>1</v>
      </c>
      <c r="R126" s="445">
        <v>0</v>
      </c>
      <c r="S126" s="448">
        <v>1</v>
      </c>
      <c r="T126" s="447">
        <f t="shared" si="1"/>
        <v>1</v>
      </c>
      <c r="U126" s="445">
        <v>0</v>
      </c>
      <c r="V126" s="445">
        <v>1</v>
      </c>
      <c r="W126" s="452">
        <f t="shared" si="2"/>
        <v>1</v>
      </c>
      <c r="X126" s="445">
        <v>0</v>
      </c>
      <c r="Y126" s="448">
        <v>1</v>
      </c>
      <c r="Z126" s="447">
        <v>1</v>
      </c>
      <c r="AA126" s="445">
        <v>0</v>
      </c>
      <c r="AB126" s="445">
        <v>1</v>
      </c>
      <c r="AC126" s="398"/>
    </row>
    <row r="127" spans="2:29" x14ac:dyDescent="0.25">
      <c r="B127" s="694"/>
      <c r="C127" s="694"/>
      <c r="D127" s="445">
        <v>23</v>
      </c>
      <c r="E127" s="450">
        <v>6</v>
      </c>
      <c r="F127" s="446">
        <v>3</v>
      </c>
      <c r="G127" s="449">
        <v>3</v>
      </c>
      <c r="H127" s="451">
        <v>2</v>
      </c>
      <c r="I127" s="446">
        <v>1</v>
      </c>
      <c r="J127" s="446">
        <v>1</v>
      </c>
      <c r="K127" s="450">
        <v>1</v>
      </c>
      <c r="L127" s="446">
        <v>0</v>
      </c>
      <c r="M127" s="449">
        <v>1</v>
      </c>
      <c r="N127" s="451">
        <v>3</v>
      </c>
      <c r="O127" s="445">
        <v>0</v>
      </c>
      <c r="P127" s="445">
        <v>3</v>
      </c>
      <c r="Q127" s="452">
        <v>1</v>
      </c>
      <c r="R127" s="445">
        <v>0</v>
      </c>
      <c r="S127" s="448">
        <v>1</v>
      </c>
      <c r="T127" s="447">
        <f t="shared" si="1"/>
        <v>1</v>
      </c>
      <c r="U127" s="445">
        <v>0</v>
      </c>
      <c r="V127" s="445">
        <v>1</v>
      </c>
      <c r="W127" s="452">
        <f t="shared" si="2"/>
        <v>0</v>
      </c>
      <c r="X127" s="445">
        <v>0</v>
      </c>
      <c r="Y127" s="448">
        <v>0</v>
      </c>
      <c r="Z127" s="447">
        <v>2</v>
      </c>
      <c r="AA127" s="445">
        <v>0</v>
      </c>
      <c r="AB127" s="445">
        <v>2</v>
      </c>
      <c r="AC127" s="398"/>
    </row>
    <row r="128" spans="2:29" x14ac:dyDescent="0.25">
      <c r="B128" s="694"/>
      <c r="C128" s="694"/>
      <c r="D128" s="445">
        <v>24</v>
      </c>
      <c r="E128" s="450">
        <v>3</v>
      </c>
      <c r="F128" s="446">
        <v>0</v>
      </c>
      <c r="G128" s="449">
        <v>3</v>
      </c>
      <c r="H128" s="451">
        <v>0</v>
      </c>
      <c r="I128" s="446">
        <v>0</v>
      </c>
      <c r="J128" s="446">
        <v>0</v>
      </c>
      <c r="K128" s="450">
        <v>0</v>
      </c>
      <c r="L128" s="446">
        <v>0</v>
      </c>
      <c r="M128" s="449">
        <v>0</v>
      </c>
      <c r="N128" s="451">
        <v>1</v>
      </c>
      <c r="O128" s="445">
        <v>0</v>
      </c>
      <c r="P128" s="445">
        <v>1</v>
      </c>
      <c r="Q128" s="452">
        <v>0</v>
      </c>
      <c r="R128" s="445">
        <v>0</v>
      </c>
      <c r="S128" s="448">
        <v>0</v>
      </c>
      <c r="T128" s="447">
        <f t="shared" si="1"/>
        <v>1</v>
      </c>
      <c r="U128" s="445">
        <v>0</v>
      </c>
      <c r="V128" s="445">
        <v>1</v>
      </c>
      <c r="W128" s="452">
        <f t="shared" si="2"/>
        <v>0</v>
      </c>
      <c r="X128" s="445">
        <v>0</v>
      </c>
      <c r="Y128" s="448">
        <v>0</v>
      </c>
      <c r="Z128" s="447">
        <v>1</v>
      </c>
      <c r="AA128" s="445">
        <v>0</v>
      </c>
      <c r="AB128" s="445">
        <v>1</v>
      </c>
      <c r="AC128" s="398"/>
    </row>
    <row r="129" spans="2:29" x14ac:dyDescent="0.25">
      <c r="B129" s="694"/>
      <c r="C129" s="694"/>
      <c r="D129" s="445">
        <v>25</v>
      </c>
      <c r="E129" s="450">
        <v>2</v>
      </c>
      <c r="F129" s="446">
        <v>0</v>
      </c>
      <c r="G129" s="449">
        <v>2</v>
      </c>
      <c r="H129" s="451">
        <v>1</v>
      </c>
      <c r="I129" s="446">
        <v>0</v>
      </c>
      <c r="J129" s="446">
        <v>1</v>
      </c>
      <c r="K129" s="450">
        <v>0</v>
      </c>
      <c r="L129" s="446">
        <v>0</v>
      </c>
      <c r="M129" s="449">
        <v>0</v>
      </c>
      <c r="N129" s="451">
        <v>0</v>
      </c>
      <c r="O129" s="445">
        <v>0</v>
      </c>
      <c r="P129" s="445">
        <v>0</v>
      </c>
      <c r="Q129" s="452">
        <v>0</v>
      </c>
      <c r="R129" s="445">
        <v>0</v>
      </c>
      <c r="S129" s="448">
        <v>0</v>
      </c>
      <c r="T129" s="447">
        <f t="shared" si="1"/>
        <v>0</v>
      </c>
      <c r="U129" s="445">
        <v>0</v>
      </c>
      <c r="V129" s="445">
        <v>0</v>
      </c>
      <c r="W129" s="452">
        <f t="shared" si="2"/>
        <v>0</v>
      </c>
      <c r="X129" s="445">
        <v>0</v>
      </c>
      <c r="Y129" s="448">
        <v>0</v>
      </c>
      <c r="Z129" s="447">
        <v>1</v>
      </c>
      <c r="AA129" s="445">
        <v>0</v>
      </c>
      <c r="AB129" s="445">
        <v>1</v>
      </c>
      <c r="AC129" s="398"/>
    </row>
    <row r="130" spans="2:29" x14ac:dyDescent="0.25">
      <c r="B130" s="694"/>
      <c r="C130" s="694"/>
      <c r="D130" s="445">
        <v>26</v>
      </c>
      <c r="E130" s="450">
        <v>1</v>
      </c>
      <c r="F130" s="446">
        <v>0</v>
      </c>
      <c r="G130" s="449">
        <v>1</v>
      </c>
      <c r="H130" s="451">
        <v>0</v>
      </c>
      <c r="I130" s="446">
        <v>0</v>
      </c>
      <c r="J130" s="446">
        <v>0</v>
      </c>
      <c r="K130" s="450">
        <v>1</v>
      </c>
      <c r="L130" s="446">
        <v>0</v>
      </c>
      <c r="M130" s="449">
        <v>1</v>
      </c>
      <c r="N130" s="451">
        <v>1</v>
      </c>
      <c r="O130" s="445">
        <v>0</v>
      </c>
      <c r="P130" s="445">
        <v>1</v>
      </c>
      <c r="Q130" s="452">
        <v>0</v>
      </c>
      <c r="R130" s="445">
        <v>0</v>
      </c>
      <c r="S130" s="448">
        <v>0</v>
      </c>
      <c r="T130" s="447">
        <f t="shared" si="1"/>
        <v>1</v>
      </c>
      <c r="U130" s="445">
        <v>0</v>
      </c>
      <c r="V130" s="445">
        <v>1</v>
      </c>
      <c r="W130" s="452">
        <f t="shared" si="2"/>
        <v>1</v>
      </c>
      <c r="X130" s="445">
        <v>0</v>
      </c>
      <c r="Y130" s="448">
        <v>1</v>
      </c>
      <c r="Z130" s="447">
        <v>0</v>
      </c>
      <c r="AA130" s="445">
        <v>0</v>
      </c>
      <c r="AB130" s="445">
        <v>0</v>
      </c>
      <c r="AC130" s="398"/>
    </row>
    <row r="131" spans="2:29" x14ac:dyDescent="0.25">
      <c r="B131" s="694"/>
      <c r="C131" s="694"/>
      <c r="D131" s="445">
        <v>27</v>
      </c>
      <c r="E131" s="450">
        <v>0</v>
      </c>
      <c r="F131" s="446">
        <v>0</v>
      </c>
      <c r="G131" s="449">
        <v>0</v>
      </c>
      <c r="H131" s="451">
        <v>0</v>
      </c>
      <c r="I131" s="446">
        <v>0</v>
      </c>
      <c r="J131" s="446">
        <v>0</v>
      </c>
      <c r="K131" s="450">
        <v>0</v>
      </c>
      <c r="L131" s="446">
        <v>0</v>
      </c>
      <c r="M131" s="449">
        <v>0</v>
      </c>
      <c r="N131" s="451">
        <v>1</v>
      </c>
      <c r="O131" s="445">
        <v>0</v>
      </c>
      <c r="P131" s="445">
        <v>1</v>
      </c>
      <c r="Q131" s="452">
        <v>0</v>
      </c>
      <c r="R131" s="445">
        <v>0</v>
      </c>
      <c r="S131" s="448">
        <v>0</v>
      </c>
      <c r="T131" s="447">
        <f t="shared" si="1"/>
        <v>0</v>
      </c>
      <c r="U131" s="445">
        <v>0</v>
      </c>
      <c r="V131" s="445">
        <v>0</v>
      </c>
      <c r="W131" s="452">
        <f t="shared" si="2"/>
        <v>0</v>
      </c>
      <c r="X131" s="445">
        <v>0</v>
      </c>
      <c r="Y131" s="448">
        <v>0</v>
      </c>
      <c r="Z131" s="447">
        <v>1</v>
      </c>
      <c r="AA131" s="445">
        <v>1</v>
      </c>
      <c r="AB131" s="445">
        <v>0</v>
      </c>
      <c r="AC131" s="398"/>
    </row>
    <row r="132" spans="2:29" x14ac:dyDescent="0.25">
      <c r="B132" s="694"/>
      <c r="C132" s="694"/>
      <c r="D132" s="445">
        <v>28</v>
      </c>
      <c r="E132" s="450">
        <v>0</v>
      </c>
      <c r="F132" s="446">
        <v>0</v>
      </c>
      <c r="G132" s="449">
        <v>0</v>
      </c>
      <c r="H132" s="451">
        <v>0</v>
      </c>
      <c r="I132" s="446">
        <v>0</v>
      </c>
      <c r="J132" s="446">
        <v>0</v>
      </c>
      <c r="K132" s="450">
        <v>0</v>
      </c>
      <c r="L132" s="446">
        <v>0</v>
      </c>
      <c r="M132" s="449">
        <v>0</v>
      </c>
      <c r="N132" s="451">
        <v>0</v>
      </c>
      <c r="O132" s="445">
        <v>0</v>
      </c>
      <c r="P132" s="445">
        <v>0</v>
      </c>
      <c r="Q132" s="452">
        <v>0</v>
      </c>
      <c r="R132" s="445">
        <v>0</v>
      </c>
      <c r="S132" s="448">
        <v>0</v>
      </c>
      <c r="T132" s="447">
        <f t="shared" si="1"/>
        <v>0</v>
      </c>
      <c r="U132" s="445">
        <v>0</v>
      </c>
      <c r="V132" s="445">
        <v>0</v>
      </c>
      <c r="W132" s="452">
        <f t="shared" si="2"/>
        <v>1</v>
      </c>
      <c r="X132" s="445">
        <v>0</v>
      </c>
      <c r="Y132" s="448">
        <v>1</v>
      </c>
      <c r="Z132" s="447">
        <v>0</v>
      </c>
      <c r="AA132" s="445">
        <v>0</v>
      </c>
      <c r="AB132" s="445">
        <v>0</v>
      </c>
      <c r="AC132" s="398"/>
    </row>
    <row r="133" spans="2:29" x14ac:dyDescent="0.25">
      <c r="B133" s="694"/>
      <c r="C133" s="694"/>
      <c r="D133" s="445">
        <v>29</v>
      </c>
      <c r="E133" s="450">
        <v>0</v>
      </c>
      <c r="F133" s="446">
        <v>0</v>
      </c>
      <c r="G133" s="449">
        <v>0</v>
      </c>
      <c r="H133" s="451">
        <v>0</v>
      </c>
      <c r="I133" s="446">
        <v>0</v>
      </c>
      <c r="J133" s="446">
        <v>0</v>
      </c>
      <c r="K133" s="450">
        <v>0</v>
      </c>
      <c r="L133" s="446">
        <v>0</v>
      </c>
      <c r="M133" s="449">
        <v>0</v>
      </c>
      <c r="N133" s="451">
        <v>1</v>
      </c>
      <c r="O133" s="445">
        <v>0</v>
      </c>
      <c r="P133" s="445">
        <v>1</v>
      </c>
      <c r="Q133" s="452">
        <v>0</v>
      </c>
      <c r="R133" s="445">
        <v>0</v>
      </c>
      <c r="S133" s="448">
        <v>0</v>
      </c>
      <c r="T133" s="447">
        <f t="shared" si="1"/>
        <v>0</v>
      </c>
      <c r="U133" s="445">
        <v>0</v>
      </c>
      <c r="V133" s="445">
        <v>0</v>
      </c>
      <c r="W133" s="452">
        <f t="shared" si="2"/>
        <v>1</v>
      </c>
      <c r="X133" s="445">
        <v>0</v>
      </c>
      <c r="Y133" s="448">
        <v>1</v>
      </c>
      <c r="Z133" s="447">
        <v>0</v>
      </c>
      <c r="AA133" s="445">
        <v>0</v>
      </c>
      <c r="AB133" s="445">
        <v>0</v>
      </c>
      <c r="AC133" s="398"/>
    </row>
    <row r="134" spans="2:29" x14ac:dyDescent="0.25">
      <c r="B134" s="694"/>
      <c r="C134" s="694"/>
      <c r="D134" s="445" t="s">
        <v>84</v>
      </c>
      <c r="E134" s="450">
        <v>0</v>
      </c>
      <c r="F134" s="446">
        <v>0</v>
      </c>
      <c r="G134" s="449">
        <v>0</v>
      </c>
      <c r="H134" s="451">
        <v>1</v>
      </c>
      <c r="I134" s="446">
        <v>0</v>
      </c>
      <c r="J134" s="446">
        <v>1</v>
      </c>
      <c r="K134" s="450">
        <v>0</v>
      </c>
      <c r="L134" s="446">
        <v>0</v>
      </c>
      <c r="M134" s="449">
        <v>0</v>
      </c>
      <c r="N134" s="451">
        <v>0</v>
      </c>
      <c r="O134" s="445">
        <v>0</v>
      </c>
      <c r="P134" s="445">
        <v>0</v>
      </c>
      <c r="Q134" s="452">
        <v>1</v>
      </c>
      <c r="R134" s="445">
        <v>0</v>
      </c>
      <c r="S134" s="448">
        <v>1</v>
      </c>
      <c r="T134" s="447">
        <f t="shared" si="1"/>
        <v>0</v>
      </c>
      <c r="U134" s="445">
        <v>0</v>
      </c>
      <c r="V134" s="445">
        <v>0</v>
      </c>
      <c r="W134" s="452">
        <f t="shared" si="2"/>
        <v>1</v>
      </c>
      <c r="X134" s="445">
        <v>1</v>
      </c>
      <c r="Y134" s="448">
        <v>0</v>
      </c>
      <c r="Z134" s="447">
        <v>1</v>
      </c>
      <c r="AA134" s="445">
        <v>0</v>
      </c>
      <c r="AB134" s="445">
        <v>1</v>
      </c>
      <c r="AC134" s="398"/>
    </row>
    <row r="135" spans="2:29" x14ac:dyDescent="0.25">
      <c r="B135" s="720"/>
      <c r="C135" s="720"/>
      <c r="D135" s="445" t="s">
        <v>85</v>
      </c>
      <c r="E135" s="450">
        <v>0</v>
      </c>
      <c r="F135" s="446">
        <v>0</v>
      </c>
      <c r="G135" s="449">
        <v>0</v>
      </c>
      <c r="H135" s="451">
        <v>2</v>
      </c>
      <c r="I135" s="446">
        <v>0</v>
      </c>
      <c r="J135" s="446">
        <v>2</v>
      </c>
      <c r="K135" s="450">
        <v>1</v>
      </c>
      <c r="L135" s="446">
        <v>0</v>
      </c>
      <c r="M135" s="449">
        <v>1</v>
      </c>
      <c r="N135" s="451">
        <v>0</v>
      </c>
      <c r="O135" s="445">
        <v>0</v>
      </c>
      <c r="P135" s="445">
        <v>0</v>
      </c>
      <c r="Q135" s="452">
        <v>0</v>
      </c>
      <c r="R135" s="445">
        <v>0</v>
      </c>
      <c r="S135" s="448">
        <v>0</v>
      </c>
      <c r="T135" s="447">
        <f t="shared" si="1"/>
        <v>0</v>
      </c>
      <c r="U135" s="445">
        <v>0</v>
      </c>
      <c r="V135" s="445">
        <v>0</v>
      </c>
      <c r="W135" s="452">
        <f t="shared" si="2"/>
        <v>0</v>
      </c>
      <c r="X135" s="445">
        <v>0</v>
      </c>
      <c r="Y135" s="448">
        <v>0</v>
      </c>
      <c r="Z135" s="447">
        <v>0</v>
      </c>
      <c r="AA135" s="445">
        <v>0</v>
      </c>
      <c r="AB135" s="445">
        <v>0</v>
      </c>
      <c r="AC135" s="398"/>
    </row>
    <row r="136" spans="2:29" x14ac:dyDescent="0.25">
      <c r="B136" s="720"/>
      <c r="C136" s="720"/>
      <c r="D136" s="461" t="s">
        <v>86</v>
      </c>
      <c r="E136" s="462">
        <v>0</v>
      </c>
      <c r="F136" s="463">
        <v>0</v>
      </c>
      <c r="G136" s="464">
        <v>0</v>
      </c>
      <c r="H136" s="465">
        <v>0</v>
      </c>
      <c r="I136" s="463">
        <v>0</v>
      </c>
      <c r="J136" s="463">
        <v>0</v>
      </c>
      <c r="K136" s="462">
        <v>0</v>
      </c>
      <c r="L136" s="463">
        <v>0</v>
      </c>
      <c r="M136" s="464">
        <v>0</v>
      </c>
      <c r="N136" s="465">
        <v>1</v>
      </c>
      <c r="O136" s="461">
        <v>0</v>
      </c>
      <c r="P136" s="461">
        <v>1</v>
      </c>
      <c r="Q136" s="466">
        <v>0</v>
      </c>
      <c r="R136" s="461">
        <v>0</v>
      </c>
      <c r="S136" s="467">
        <v>0</v>
      </c>
      <c r="T136" s="468">
        <f t="shared" si="1"/>
        <v>1</v>
      </c>
      <c r="U136" s="461">
        <v>0</v>
      </c>
      <c r="V136" s="461">
        <v>1</v>
      </c>
      <c r="W136" s="466">
        <f t="shared" si="2"/>
        <v>0</v>
      </c>
      <c r="X136" s="461">
        <v>0</v>
      </c>
      <c r="Y136" s="467">
        <v>0</v>
      </c>
      <c r="Z136" s="468">
        <v>0</v>
      </c>
      <c r="AA136" s="461">
        <v>0</v>
      </c>
      <c r="AB136" s="445">
        <v>0</v>
      </c>
      <c r="AC136" s="398"/>
    </row>
    <row r="137" spans="2:29" ht="15.75" thickBot="1" x14ac:dyDescent="0.3">
      <c r="B137" s="721"/>
      <c r="C137" s="721"/>
      <c r="D137" s="453" t="s">
        <v>82</v>
      </c>
      <c r="E137" s="454">
        <v>35</v>
      </c>
      <c r="F137" s="455">
        <v>3</v>
      </c>
      <c r="G137" s="456">
        <v>32</v>
      </c>
      <c r="H137" s="453">
        <v>27</v>
      </c>
      <c r="I137" s="457">
        <v>2</v>
      </c>
      <c r="J137" s="457">
        <v>25</v>
      </c>
      <c r="K137" s="454">
        <f>SUM(K122:K136)</f>
        <v>26</v>
      </c>
      <c r="L137" s="458">
        <f>SUM(L122:L136)</f>
        <v>5</v>
      </c>
      <c r="M137" s="459">
        <f>SUM(M122:M136)</f>
        <v>21</v>
      </c>
      <c r="N137" s="453">
        <v>33</v>
      </c>
      <c r="O137" s="458">
        <v>4</v>
      </c>
      <c r="P137" s="458">
        <v>29</v>
      </c>
      <c r="Q137" s="454">
        <v>26</v>
      </c>
      <c r="R137" s="458">
        <v>3</v>
      </c>
      <c r="S137" s="459">
        <f>SUM(S122:S136)</f>
        <v>23</v>
      </c>
      <c r="T137" s="453">
        <v>19</v>
      </c>
      <c r="U137" s="458">
        <f>SUM(U122:U136)</f>
        <v>2</v>
      </c>
      <c r="V137" s="458">
        <f>SUM(V122:V136)</f>
        <v>17</v>
      </c>
      <c r="W137" s="454">
        <f>SUM(X137+Y137)</f>
        <v>35</v>
      </c>
      <c r="X137" s="458">
        <f>SUM(X122:X136)</f>
        <v>8</v>
      </c>
      <c r="Y137" s="459">
        <f>SUM(Y122:Y136)</f>
        <v>27</v>
      </c>
      <c r="Z137" s="453">
        <v>40</v>
      </c>
      <c r="AA137" s="460">
        <f>SUM(AA122:AA136)</f>
        <v>8</v>
      </c>
      <c r="AB137" s="474">
        <f>SUM(AB122:AB136)</f>
        <v>32</v>
      </c>
      <c r="AC137" s="398"/>
    </row>
    <row r="138" spans="2:29" x14ac:dyDescent="0.25">
      <c r="E138" s="470"/>
      <c r="F138" s="470"/>
      <c r="G138" s="470"/>
      <c r="H138" s="470"/>
      <c r="I138" s="470"/>
      <c r="J138" s="470"/>
      <c r="K138" s="470"/>
      <c r="L138" s="470"/>
      <c r="M138" s="470"/>
      <c r="N138" s="470"/>
      <c r="O138" s="470"/>
      <c r="P138" s="470"/>
      <c r="Q138" s="470"/>
      <c r="R138" s="470"/>
      <c r="S138" s="470"/>
      <c r="T138" s="470"/>
      <c r="U138" s="470"/>
      <c r="V138" s="471"/>
      <c r="W138" s="470"/>
      <c r="X138" s="470"/>
      <c r="Y138" s="472"/>
      <c r="Z138" s="470"/>
      <c r="AA138" s="470"/>
      <c r="AB138" s="72"/>
      <c r="AC138" s="398"/>
    </row>
    <row r="139" spans="2:29" x14ac:dyDescent="0.25">
      <c r="B139" s="666" t="s">
        <v>2</v>
      </c>
      <c r="C139" s="666"/>
      <c r="D139" s="666" t="s">
        <v>81</v>
      </c>
      <c r="E139" s="704" t="s">
        <v>51</v>
      </c>
      <c r="F139" s="704"/>
      <c r="G139" s="704"/>
      <c r="H139" s="704"/>
      <c r="I139" s="704"/>
      <c r="J139" s="704"/>
      <c r="K139" s="704"/>
      <c r="L139" s="704"/>
      <c r="M139" s="704"/>
      <c r="N139" s="704"/>
      <c r="O139" s="704"/>
      <c r="P139" s="704"/>
      <c r="Q139" s="704"/>
      <c r="R139" s="704"/>
      <c r="S139" s="704"/>
      <c r="T139" s="704"/>
      <c r="U139" s="704"/>
      <c r="V139" s="704"/>
      <c r="W139" s="704"/>
      <c r="X139" s="704"/>
      <c r="Y139" s="704"/>
      <c r="Z139" s="704"/>
      <c r="AA139" s="704"/>
      <c r="AB139" s="704"/>
    </row>
    <row r="140" spans="2:29" x14ac:dyDescent="0.25">
      <c r="B140" s="667"/>
      <c r="C140" s="667"/>
      <c r="D140" s="667"/>
      <c r="E140" s="705" t="s">
        <v>4</v>
      </c>
      <c r="F140" s="705"/>
      <c r="G140" s="705"/>
      <c r="H140" s="700" t="s">
        <v>5</v>
      </c>
      <c r="I140" s="700"/>
      <c r="J140" s="700"/>
      <c r="K140" s="700" t="s">
        <v>6</v>
      </c>
      <c r="L140" s="700"/>
      <c r="M140" s="700"/>
      <c r="N140" s="700" t="s">
        <v>7</v>
      </c>
      <c r="O140" s="700"/>
      <c r="P140" s="700"/>
      <c r="Q140" s="700" t="s">
        <v>8</v>
      </c>
      <c r="R140" s="700"/>
      <c r="S140" s="700"/>
      <c r="T140" s="700" t="s">
        <v>9</v>
      </c>
      <c r="U140" s="700"/>
      <c r="V140" s="700"/>
      <c r="W140" s="700" t="s">
        <v>10</v>
      </c>
      <c r="X140" s="700"/>
      <c r="Y140" s="700"/>
      <c r="Z140" s="700" t="s">
        <v>11</v>
      </c>
      <c r="AA140" s="700"/>
      <c r="AB140" s="700"/>
    </row>
    <row r="141" spans="2:29" ht="15.75" customHeight="1" x14ac:dyDescent="0.25">
      <c r="B141" s="698" t="s">
        <v>13</v>
      </c>
      <c r="C141" s="698"/>
      <c r="D141" s="445"/>
      <c r="E141" s="469" t="s">
        <v>90</v>
      </c>
      <c r="F141" s="469" t="s">
        <v>1263</v>
      </c>
      <c r="G141" s="469" t="s">
        <v>1264</v>
      </c>
      <c r="H141" s="469" t="s">
        <v>90</v>
      </c>
      <c r="I141" s="469" t="s">
        <v>1263</v>
      </c>
      <c r="J141" s="469" t="s">
        <v>1264</v>
      </c>
      <c r="K141" s="469" t="s">
        <v>90</v>
      </c>
      <c r="L141" s="469" t="s">
        <v>1263</v>
      </c>
      <c r="M141" s="469" t="s">
        <v>1264</v>
      </c>
      <c r="N141" s="469" t="s">
        <v>90</v>
      </c>
      <c r="O141" s="469" t="s">
        <v>1263</v>
      </c>
      <c r="P141" s="469" t="s">
        <v>1264</v>
      </c>
      <c r="Q141" s="469" t="s">
        <v>90</v>
      </c>
      <c r="R141" s="469" t="s">
        <v>1263</v>
      </c>
      <c r="S141" s="469" t="s">
        <v>1264</v>
      </c>
      <c r="T141" s="469" t="s">
        <v>90</v>
      </c>
      <c r="U141" s="469" t="s">
        <v>1263</v>
      </c>
      <c r="V141" s="469" t="s">
        <v>1264</v>
      </c>
      <c r="W141" s="469" t="s">
        <v>90</v>
      </c>
      <c r="X141" s="469" t="s">
        <v>1263</v>
      </c>
      <c r="Y141" s="469" t="s">
        <v>1264</v>
      </c>
      <c r="Z141" s="469" t="s">
        <v>90</v>
      </c>
      <c r="AA141" s="469" t="s">
        <v>1263</v>
      </c>
      <c r="AB141" s="469" t="s">
        <v>1264</v>
      </c>
    </row>
    <row r="142" spans="2:29" ht="13.5" customHeight="1" x14ac:dyDescent="0.25">
      <c r="B142" s="694"/>
      <c r="C142" s="694"/>
      <c r="D142" s="445" t="s">
        <v>83</v>
      </c>
      <c r="E142" s="450">
        <v>2</v>
      </c>
      <c r="F142" s="446">
        <v>1</v>
      </c>
      <c r="G142" s="449">
        <v>1</v>
      </c>
      <c r="H142" s="451">
        <v>16</v>
      </c>
      <c r="I142" s="446">
        <v>7</v>
      </c>
      <c r="J142" s="446">
        <v>9</v>
      </c>
      <c r="K142" s="476">
        <v>10</v>
      </c>
      <c r="L142" s="477">
        <v>3</v>
      </c>
      <c r="M142" s="478">
        <v>7</v>
      </c>
      <c r="N142" s="451">
        <v>21</v>
      </c>
      <c r="O142" s="445">
        <v>12</v>
      </c>
      <c r="P142" s="445">
        <v>9</v>
      </c>
      <c r="Q142" s="452">
        <v>16</v>
      </c>
      <c r="R142" s="445">
        <v>7</v>
      </c>
      <c r="S142" s="448">
        <v>9</v>
      </c>
      <c r="T142" s="447">
        <v>18</v>
      </c>
      <c r="U142" s="445">
        <v>8</v>
      </c>
      <c r="V142" s="445">
        <v>10</v>
      </c>
      <c r="W142" s="452">
        <v>24</v>
      </c>
      <c r="X142" s="445">
        <v>14</v>
      </c>
      <c r="Y142" s="448">
        <v>10</v>
      </c>
      <c r="Z142" s="447">
        <v>18</v>
      </c>
      <c r="AA142" s="445">
        <v>11</v>
      </c>
      <c r="AB142" s="445">
        <v>7</v>
      </c>
    </row>
    <row r="143" spans="2:29" x14ac:dyDescent="0.25">
      <c r="B143" s="694"/>
      <c r="C143" s="694"/>
      <c r="D143" s="445">
        <v>19</v>
      </c>
      <c r="E143" s="450">
        <v>9</v>
      </c>
      <c r="F143" s="446">
        <v>5</v>
      </c>
      <c r="G143" s="449">
        <v>4</v>
      </c>
      <c r="H143" s="451">
        <v>4</v>
      </c>
      <c r="I143" s="446">
        <v>2</v>
      </c>
      <c r="J143" s="446">
        <v>2</v>
      </c>
      <c r="K143" s="476">
        <v>11</v>
      </c>
      <c r="L143" s="477">
        <v>1</v>
      </c>
      <c r="M143" s="478">
        <v>10</v>
      </c>
      <c r="N143" s="451">
        <v>12</v>
      </c>
      <c r="O143" s="445">
        <v>3</v>
      </c>
      <c r="P143" s="445">
        <v>9</v>
      </c>
      <c r="Q143" s="452">
        <v>19</v>
      </c>
      <c r="R143" s="445">
        <v>10</v>
      </c>
      <c r="S143" s="448">
        <v>9</v>
      </c>
      <c r="T143" s="447">
        <v>14</v>
      </c>
      <c r="U143" s="445">
        <v>6</v>
      </c>
      <c r="V143" s="445">
        <v>8</v>
      </c>
      <c r="W143" s="452">
        <v>9</v>
      </c>
      <c r="X143" s="445">
        <v>4</v>
      </c>
      <c r="Y143" s="448">
        <v>5</v>
      </c>
      <c r="Z143" s="447">
        <v>11</v>
      </c>
      <c r="AA143" s="445">
        <v>4</v>
      </c>
      <c r="AB143" s="445">
        <v>7</v>
      </c>
    </row>
    <row r="144" spans="2:29" x14ac:dyDescent="0.25">
      <c r="B144" s="694"/>
      <c r="C144" s="694"/>
      <c r="D144" s="445">
        <v>20</v>
      </c>
      <c r="E144" s="450">
        <v>6</v>
      </c>
      <c r="F144" s="446">
        <v>2</v>
      </c>
      <c r="G144" s="449">
        <v>4</v>
      </c>
      <c r="H144" s="451">
        <v>11</v>
      </c>
      <c r="I144" s="446">
        <v>3</v>
      </c>
      <c r="J144" s="446">
        <v>8</v>
      </c>
      <c r="K144" s="476">
        <v>8</v>
      </c>
      <c r="L144" s="477">
        <v>2</v>
      </c>
      <c r="M144" s="478">
        <v>6</v>
      </c>
      <c r="N144" s="451">
        <v>5</v>
      </c>
      <c r="O144" s="445">
        <v>1</v>
      </c>
      <c r="P144" s="445">
        <v>4</v>
      </c>
      <c r="Q144" s="452">
        <v>7</v>
      </c>
      <c r="R144" s="445">
        <v>5</v>
      </c>
      <c r="S144" s="448">
        <v>2</v>
      </c>
      <c r="T144" s="447">
        <v>9</v>
      </c>
      <c r="U144" s="445">
        <v>4</v>
      </c>
      <c r="V144" s="445">
        <v>5</v>
      </c>
      <c r="W144" s="452">
        <v>10</v>
      </c>
      <c r="X144" s="445">
        <v>4</v>
      </c>
      <c r="Y144" s="448">
        <v>6</v>
      </c>
      <c r="Z144" s="447">
        <v>9</v>
      </c>
      <c r="AA144" s="445">
        <v>4</v>
      </c>
      <c r="AB144" s="445">
        <v>5</v>
      </c>
    </row>
    <row r="145" spans="2:28" x14ac:dyDescent="0.25">
      <c r="B145" s="694"/>
      <c r="C145" s="694"/>
      <c r="D145" s="445">
        <v>21</v>
      </c>
      <c r="E145" s="450">
        <v>5</v>
      </c>
      <c r="F145" s="446">
        <v>2</v>
      </c>
      <c r="G145" s="449">
        <v>3</v>
      </c>
      <c r="H145" s="451">
        <v>4</v>
      </c>
      <c r="I145" s="446">
        <v>3</v>
      </c>
      <c r="J145" s="446">
        <v>1</v>
      </c>
      <c r="K145" s="476">
        <v>8</v>
      </c>
      <c r="L145" s="477">
        <v>0</v>
      </c>
      <c r="M145" s="478">
        <v>8</v>
      </c>
      <c r="N145" s="451">
        <v>4</v>
      </c>
      <c r="O145" s="445">
        <v>1</v>
      </c>
      <c r="P145" s="445">
        <v>3</v>
      </c>
      <c r="Q145" s="452">
        <v>8</v>
      </c>
      <c r="R145" s="445">
        <v>1</v>
      </c>
      <c r="S145" s="448">
        <v>7</v>
      </c>
      <c r="T145" s="447">
        <v>3</v>
      </c>
      <c r="U145" s="445">
        <v>2</v>
      </c>
      <c r="V145" s="445">
        <v>1</v>
      </c>
      <c r="W145" s="452">
        <v>3</v>
      </c>
      <c r="X145" s="445">
        <v>1</v>
      </c>
      <c r="Y145" s="448">
        <v>2</v>
      </c>
      <c r="Z145" s="447">
        <v>9</v>
      </c>
      <c r="AA145" s="445">
        <v>4</v>
      </c>
      <c r="AB145" s="445">
        <v>5</v>
      </c>
    </row>
    <row r="146" spans="2:28" x14ac:dyDescent="0.25">
      <c r="B146" s="694"/>
      <c r="C146" s="694"/>
      <c r="D146" s="445">
        <v>22</v>
      </c>
      <c r="E146" s="450">
        <v>6</v>
      </c>
      <c r="F146" s="446">
        <v>2</v>
      </c>
      <c r="G146" s="449">
        <v>4</v>
      </c>
      <c r="H146" s="451">
        <v>3</v>
      </c>
      <c r="I146" s="446">
        <v>1</v>
      </c>
      <c r="J146" s="446">
        <v>2</v>
      </c>
      <c r="K146" s="476">
        <v>11</v>
      </c>
      <c r="L146" s="477">
        <v>0</v>
      </c>
      <c r="M146" s="478">
        <v>11</v>
      </c>
      <c r="N146" s="451">
        <v>3</v>
      </c>
      <c r="O146" s="445">
        <v>1</v>
      </c>
      <c r="P146" s="445">
        <v>2</v>
      </c>
      <c r="Q146" s="452">
        <v>5</v>
      </c>
      <c r="R146" s="445">
        <v>2</v>
      </c>
      <c r="S146" s="448">
        <v>3</v>
      </c>
      <c r="T146" s="447">
        <v>3</v>
      </c>
      <c r="U146" s="445">
        <v>1</v>
      </c>
      <c r="V146" s="445">
        <v>2</v>
      </c>
      <c r="W146" s="452">
        <v>7</v>
      </c>
      <c r="X146" s="445">
        <v>2</v>
      </c>
      <c r="Y146" s="448">
        <v>5</v>
      </c>
      <c r="Z146" s="447">
        <v>2</v>
      </c>
      <c r="AA146" s="445">
        <v>0</v>
      </c>
      <c r="AB146" s="445">
        <v>2</v>
      </c>
    </row>
    <row r="147" spans="2:28" x14ac:dyDescent="0.25">
      <c r="B147" s="694"/>
      <c r="C147" s="694"/>
      <c r="D147" s="445">
        <v>23</v>
      </c>
      <c r="E147" s="450">
        <v>3</v>
      </c>
      <c r="F147" s="446">
        <v>1</v>
      </c>
      <c r="G147" s="449">
        <v>2</v>
      </c>
      <c r="H147" s="451">
        <v>0</v>
      </c>
      <c r="I147" s="446">
        <v>0</v>
      </c>
      <c r="J147" s="446">
        <v>0</v>
      </c>
      <c r="K147" s="476">
        <v>10</v>
      </c>
      <c r="L147" s="477">
        <v>3</v>
      </c>
      <c r="M147" s="478">
        <v>7</v>
      </c>
      <c r="N147" s="451">
        <v>5</v>
      </c>
      <c r="O147" s="445">
        <v>2</v>
      </c>
      <c r="P147" s="445">
        <v>3</v>
      </c>
      <c r="Q147" s="452">
        <v>1</v>
      </c>
      <c r="R147" s="445">
        <v>1</v>
      </c>
      <c r="S147" s="448">
        <v>0</v>
      </c>
      <c r="T147" s="447">
        <v>1</v>
      </c>
      <c r="U147" s="445">
        <v>1</v>
      </c>
      <c r="V147" s="445">
        <v>0</v>
      </c>
      <c r="W147" s="452">
        <v>4</v>
      </c>
      <c r="X147" s="445">
        <v>1</v>
      </c>
      <c r="Y147" s="448">
        <v>3</v>
      </c>
      <c r="Z147" s="447">
        <v>2</v>
      </c>
      <c r="AA147" s="445">
        <v>2</v>
      </c>
      <c r="AB147" s="445">
        <v>0</v>
      </c>
    </row>
    <row r="148" spans="2:28" x14ac:dyDescent="0.25">
      <c r="B148" s="694"/>
      <c r="C148" s="694"/>
      <c r="D148" s="445">
        <v>24</v>
      </c>
      <c r="E148" s="450">
        <v>0</v>
      </c>
      <c r="F148" s="446">
        <v>0</v>
      </c>
      <c r="G148" s="449">
        <v>0</v>
      </c>
      <c r="H148" s="451">
        <v>1</v>
      </c>
      <c r="I148" s="446">
        <v>1</v>
      </c>
      <c r="J148" s="446">
        <v>0</v>
      </c>
      <c r="K148" s="476">
        <v>7</v>
      </c>
      <c r="L148" s="477">
        <v>1</v>
      </c>
      <c r="M148" s="478">
        <v>6</v>
      </c>
      <c r="N148" s="451">
        <v>3</v>
      </c>
      <c r="O148" s="445">
        <v>2</v>
      </c>
      <c r="P148" s="445">
        <v>1</v>
      </c>
      <c r="Q148" s="452">
        <v>1</v>
      </c>
      <c r="R148" s="445">
        <v>0</v>
      </c>
      <c r="S148" s="448">
        <v>1</v>
      </c>
      <c r="T148" s="447">
        <v>1</v>
      </c>
      <c r="U148" s="445">
        <v>0</v>
      </c>
      <c r="V148" s="445">
        <v>1</v>
      </c>
      <c r="W148" s="452">
        <v>0</v>
      </c>
      <c r="X148" s="445">
        <v>0</v>
      </c>
      <c r="Y148" s="448">
        <v>0</v>
      </c>
      <c r="Z148" s="447">
        <v>0</v>
      </c>
      <c r="AA148" s="445">
        <v>0</v>
      </c>
      <c r="AB148" s="445">
        <v>0</v>
      </c>
    </row>
    <row r="149" spans="2:28" x14ac:dyDescent="0.25">
      <c r="B149" s="694"/>
      <c r="C149" s="694"/>
      <c r="D149" s="445">
        <v>25</v>
      </c>
      <c r="E149" s="450">
        <v>1</v>
      </c>
      <c r="F149" s="446">
        <v>0</v>
      </c>
      <c r="G149" s="449">
        <v>1</v>
      </c>
      <c r="H149" s="451">
        <v>1</v>
      </c>
      <c r="I149" s="446">
        <v>1</v>
      </c>
      <c r="J149" s="446">
        <v>0</v>
      </c>
      <c r="K149" s="476">
        <v>3</v>
      </c>
      <c r="L149" s="477">
        <v>0</v>
      </c>
      <c r="M149" s="478">
        <v>3</v>
      </c>
      <c r="N149" s="451">
        <v>0</v>
      </c>
      <c r="O149" s="445">
        <v>0</v>
      </c>
      <c r="P149" s="445">
        <v>0</v>
      </c>
      <c r="Q149" s="452">
        <v>1</v>
      </c>
      <c r="R149" s="445">
        <v>1</v>
      </c>
      <c r="S149" s="448">
        <v>0</v>
      </c>
      <c r="T149" s="447">
        <v>3</v>
      </c>
      <c r="U149" s="445">
        <v>1</v>
      </c>
      <c r="V149" s="445">
        <v>2</v>
      </c>
      <c r="W149" s="452">
        <v>2</v>
      </c>
      <c r="X149" s="445">
        <v>1</v>
      </c>
      <c r="Y149" s="448">
        <v>1</v>
      </c>
      <c r="Z149" s="447">
        <v>0</v>
      </c>
      <c r="AA149" s="445">
        <v>0</v>
      </c>
      <c r="AB149" s="445">
        <v>0</v>
      </c>
    </row>
    <row r="150" spans="2:28" x14ac:dyDescent="0.25">
      <c r="B150" s="694"/>
      <c r="C150" s="694"/>
      <c r="D150" s="445">
        <v>26</v>
      </c>
      <c r="E150" s="450">
        <v>1</v>
      </c>
      <c r="F150" s="446">
        <v>0</v>
      </c>
      <c r="G150" s="449">
        <v>1</v>
      </c>
      <c r="H150" s="451">
        <v>0</v>
      </c>
      <c r="I150" s="446">
        <v>0</v>
      </c>
      <c r="J150" s="446">
        <v>0</v>
      </c>
      <c r="K150" s="476">
        <v>5</v>
      </c>
      <c r="L150" s="477">
        <v>0</v>
      </c>
      <c r="M150" s="478">
        <v>5</v>
      </c>
      <c r="N150" s="451">
        <v>1</v>
      </c>
      <c r="O150" s="445">
        <v>0</v>
      </c>
      <c r="P150" s="445">
        <v>1</v>
      </c>
      <c r="Q150" s="452">
        <v>0</v>
      </c>
      <c r="R150" s="445">
        <v>0</v>
      </c>
      <c r="S150" s="448">
        <v>0</v>
      </c>
      <c r="T150" s="447">
        <v>1</v>
      </c>
      <c r="U150" s="445">
        <v>0</v>
      </c>
      <c r="V150" s="445">
        <v>1</v>
      </c>
      <c r="W150" s="452">
        <v>0</v>
      </c>
      <c r="X150" s="445">
        <v>0</v>
      </c>
      <c r="Y150" s="448">
        <v>0</v>
      </c>
      <c r="Z150" s="447">
        <v>1</v>
      </c>
      <c r="AA150" s="445">
        <v>1</v>
      </c>
      <c r="AB150" s="445">
        <v>0</v>
      </c>
    </row>
    <row r="151" spans="2:28" x14ac:dyDescent="0.25">
      <c r="B151" s="694"/>
      <c r="C151" s="694"/>
      <c r="D151" s="445">
        <v>27</v>
      </c>
      <c r="E151" s="450">
        <v>1</v>
      </c>
      <c r="F151" s="446">
        <v>1</v>
      </c>
      <c r="G151" s="449">
        <v>0</v>
      </c>
      <c r="H151" s="451">
        <v>1</v>
      </c>
      <c r="I151" s="446">
        <v>0</v>
      </c>
      <c r="J151" s="446">
        <v>1</v>
      </c>
      <c r="K151" s="476">
        <v>2</v>
      </c>
      <c r="L151" s="477">
        <v>0</v>
      </c>
      <c r="M151" s="478">
        <v>2</v>
      </c>
      <c r="N151" s="451">
        <v>0</v>
      </c>
      <c r="O151" s="445">
        <v>0</v>
      </c>
      <c r="P151" s="445">
        <v>0</v>
      </c>
      <c r="Q151" s="452">
        <v>0</v>
      </c>
      <c r="R151" s="445">
        <v>0</v>
      </c>
      <c r="S151" s="448">
        <v>0</v>
      </c>
      <c r="T151" s="447">
        <v>2</v>
      </c>
      <c r="U151" s="445">
        <v>1</v>
      </c>
      <c r="V151" s="445">
        <v>1</v>
      </c>
      <c r="W151" s="452">
        <v>0</v>
      </c>
      <c r="X151" s="445">
        <v>0</v>
      </c>
      <c r="Y151" s="448">
        <v>0</v>
      </c>
      <c r="Z151" s="447">
        <v>1</v>
      </c>
      <c r="AA151" s="445">
        <v>0</v>
      </c>
      <c r="AB151" s="445">
        <v>1</v>
      </c>
    </row>
    <row r="152" spans="2:28" x14ac:dyDescent="0.25">
      <c r="B152" s="694"/>
      <c r="C152" s="694"/>
      <c r="D152" s="445">
        <v>28</v>
      </c>
      <c r="E152" s="450">
        <v>0</v>
      </c>
      <c r="F152" s="446">
        <v>0</v>
      </c>
      <c r="G152" s="449">
        <v>0</v>
      </c>
      <c r="H152" s="451">
        <v>0</v>
      </c>
      <c r="I152" s="446">
        <v>0</v>
      </c>
      <c r="J152" s="446">
        <v>0</v>
      </c>
      <c r="K152" s="476">
        <v>1</v>
      </c>
      <c r="L152" s="477">
        <v>0</v>
      </c>
      <c r="M152" s="478">
        <v>1</v>
      </c>
      <c r="N152" s="451">
        <v>1</v>
      </c>
      <c r="O152" s="445">
        <v>0</v>
      </c>
      <c r="P152" s="445">
        <v>1</v>
      </c>
      <c r="Q152" s="452">
        <v>0</v>
      </c>
      <c r="R152" s="445">
        <v>0</v>
      </c>
      <c r="S152" s="448">
        <v>0</v>
      </c>
      <c r="T152" s="447">
        <v>0</v>
      </c>
      <c r="U152" s="445">
        <v>0</v>
      </c>
      <c r="V152" s="445">
        <v>0</v>
      </c>
      <c r="W152" s="452">
        <v>0</v>
      </c>
      <c r="X152" s="445">
        <v>0</v>
      </c>
      <c r="Y152" s="448">
        <v>0</v>
      </c>
      <c r="Z152" s="447">
        <v>2</v>
      </c>
      <c r="AA152" s="445">
        <v>0</v>
      </c>
      <c r="AB152" s="445">
        <v>2</v>
      </c>
    </row>
    <row r="153" spans="2:28" x14ac:dyDescent="0.25">
      <c r="B153" s="694"/>
      <c r="C153" s="694"/>
      <c r="D153" s="445">
        <v>29</v>
      </c>
      <c r="E153" s="450">
        <v>1</v>
      </c>
      <c r="F153" s="446">
        <v>0</v>
      </c>
      <c r="G153" s="449">
        <v>1</v>
      </c>
      <c r="H153" s="451">
        <v>0</v>
      </c>
      <c r="I153" s="446">
        <v>0</v>
      </c>
      <c r="J153" s="446">
        <v>0</v>
      </c>
      <c r="K153" s="476">
        <v>0</v>
      </c>
      <c r="L153" s="477">
        <v>0</v>
      </c>
      <c r="M153" s="478">
        <v>0</v>
      </c>
      <c r="N153" s="451">
        <v>0</v>
      </c>
      <c r="O153" s="445">
        <v>0</v>
      </c>
      <c r="P153" s="445">
        <v>0</v>
      </c>
      <c r="Q153" s="452">
        <v>0</v>
      </c>
      <c r="R153" s="445">
        <v>0</v>
      </c>
      <c r="S153" s="448">
        <v>0</v>
      </c>
      <c r="T153" s="447">
        <v>0</v>
      </c>
      <c r="U153" s="445">
        <v>0</v>
      </c>
      <c r="V153" s="445">
        <v>0</v>
      </c>
      <c r="W153" s="452">
        <v>0</v>
      </c>
      <c r="X153" s="445">
        <v>0</v>
      </c>
      <c r="Y153" s="448">
        <v>0</v>
      </c>
      <c r="Z153" s="447">
        <v>0</v>
      </c>
      <c r="AA153" s="445">
        <v>0</v>
      </c>
      <c r="AB153" s="445">
        <v>0</v>
      </c>
    </row>
    <row r="154" spans="2:28" x14ac:dyDescent="0.25">
      <c r="B154" s="694"/>
      <c r="C154" s="694"/>
      <c r="D154" s="445" t="s">
        <v>84</v>
      </c>
      <c r="E154" s="450">
        <v>4</v>
      </c>
      <c r="F154" s="446">
        <v>2</v>
      </c>
      <c r="G154" s="449">
        <v>2</v>
      </c>
      <c r="H154" s="451">
        <v>4</v>
      </c>
      <c r="I154" s="446">
        <v>0</v>
      </c>
      <c r="J154" s="446">
        <v>4</v>
      </c>
      <c r="K154" s="476">
        <v>1</v>
      </c>
      <c r="L154" s="477">
        <v>0</v>
      </c>
      <c r="M154" s="478">
        <v>1</v>
      </c>
      <c r="N154" s="451">
        <v>0</v>
      </c>
      <c r="O154" s="445">
        <v>0</v>
      </c>
      <c r="P154" s="445">
        <v>0</v>
      </c>
      <c r="Q154" s="452">
        <v>2</v>
      </c>
      <c r="R154" s="445">
        <v>1</v>
      </c>
      <c r="S154" s="448">
        <v>1</v>
      </c>
      <c r="T154" s="447">
        <v>0</v>
      </c>
      <c r="U154" s="445">
        <v>0</v>
      </c>
      <c r="V154" s="445">
        <v>0</v>
      </c>
      <c r="W154" s="452">
        <v>1</v>
      </c>
      <c r="X154" s="445">
        <v>1</v>
      </c>
      <c r="Y154" s="448">
        <v>0</v>
      </c>
      <c r="Z154" s="447">
        <v>2</v>
      </c>
      <c r="AA154" s="445">
        <v>1</v>
      </c>
      <c r="AB154" s="445">
        <v>1</v>
      </c>
    </row>
    <row r="155" spans="2:28" x14ac:dyDescent="0.25">
      <c r="B155" s="694"/>
      <c r="C155" s="694"/>
      <c r="D155" s="445" t="s">
        <v>85</v>
      </c>
      <c r="E155" s="450">
        <v>1</v>
      </c>
      <c r="F155" s="446">
        <v>0</v>
      </c>
      <c r="G155" s="449">
        <v>1</v>
      </c>
      <c r="H155" s="451">
        <v>0</v>
      </c>
      <c r="I155" s="446">
        <v>0</v>
      </c>
      <c r="J155" s="446">
        <v>0</v>
      </c>
      <c r="K155" s="476">
        <v>2</v>
      </c>
      <c r="L155" s="477">
        <v>0</v>
      </c>
      <c r="M155" s="478">
        <v>2</v>
      </c>
      <c r="N155" s="451">
        <v>0</v>
      </c>
      <c r="O155" s="445">
        <v>0</v>
      </c>
      <c r="P155" s="445">
        <v>0</v>
      </c>
      <c r="Q155" s="452">
        <v>1</v>
      </c>
      <c r="R155" s="445">
        <v>0</v>
      </c>
      <c r="S155" s="448">
        <v>1</v>
      </c>
      <c r="T155" s="447">
        <v>1</v>
      </c>
      <c r="U155" s="445">
        <v>1</v>
      </c>
      <c r="V155" s="445">
        <v>0</v>
      </c>
      <c r="W155" s="452">
        <v>2</v>
      </c>
      <c r="X155" s="445">
        <v>1</v>
      </c>
      <c r="Y155" s="448">
        <v>1</v>
      </c>
      <c r="Z155" s="447">
        <v>1</v>
      </c>
      <c r="AA155" s="445">
        <v>1</v>
      </c>
      <c r="AB155" s="445">
        <v>0</v>
      </c>
    </row>
    <row r="156" spans="2:28" x14ac:dyDescent="0.25">
      <c r="B156" s="694"/>
      <c r="C156" s="694"/>
      <c r="D156" s="461" t="s">
        <v>86</v>
      </c>
      <c r="E156" s="462">
        <v>1</v>
      </c>
      <c r="F156" s="463">
        <v>0</v>
      </c>
      <c r="G156" s="464">
        <v>1</v>
      </c>
      <c r="H156" s="465">
        <v>0</v>
      </c>
      <c r="I156" s="463">
        <v>0</v>
      </c>
      <c r="J156" s="463">
        <v>0</v>
      </c>
      <c r="K156" s="479">
        <v>0</v>
      </c>
      <c r="L156" s="480">
        <v>0</v>
      </c>
      <c r="M156" s="481">
        <v>0</v>
      </c>
      <c r="N156" s="465"/>
      <c r="O156" s="461">
        <v>0</v>
      </c>
      <c r="P156" s="461">
        <v>0</v>
      </c>
      <c r="Q156" s="466">
        <v>1</v>
      </c>
      <c r="R156" s="461">
        <v>1</v>
      </c>
      <c r="S156" s="467">
        <v>0</v>
      </c>
      <c r="T156" s="468">
        <v>0</v>
      </c>
      <c r="U156" s="461">
        <v>0</v>
      </c>
      <c r="V156" s="461">
        <v>0</v>
      </c>
      <c r="W156" s="466">
        <v>1</v>
      </c>
      <c r="X156" s="461">
        <v>0</v>
      </c>
      <c r="Y156" s="467">
        <v>1</v>
      </c>
      <c r="Z156" s="468">
        <v>1</v>
      </c>
      <c r="AA156" s="461">
        <v>1</v>
      </c>
      <c r="AB156" s="445">
        <v>0</v>
      </c>
    </row>
    <row r="157" spans="2:28" ht="15.75" thickBot="1" x14ac:dyDescent="0.3">
      <c r="B157" s="696"/>
      <c r="C157" s="696"/>
      <c r="D157" s="453" t="s">
        <v>82</v>
      </c>
      <c r="E157" s="454">
        <v>41</v>
      </c>
      <c r="F157" s="455">
        <v>16</v>
      </c>
      <c r="G157" s="456">
        <v>25</v>
      </c>
      <c r="H157" s="453">
        <v>45</v>
      </c>
      <c r="I157" s="457">
        <v>18</v>
      </c>
      <c r="J157" s="457">
        <v>27</v>
      </c>
      <c r="K157" s="454">
        <v>79</v>
      </c>
      <c r="L157" s="458">
        <v>10</v>
      </c>
      <c r="M157" s="459">
        <v>69</v>
      </c>
      <c r="N157" s="453">
        <v>55</v>
      </c>
      <c r="O157" s="458">
        <v>22</v>
      </c>
      <c r="P157" s="458">
        <v>33</v>
      </c>
      <c r="Q157" s="454">
        <v>62</v>
      </c>
      <c r="R157" s="458">
        <v>29</v>
      </c>
      <c r="S157" s="459">
        <v>33</v>
      </c>
      <c r="T157" s="453">
        <v>56</v>
      </c>
      <c r="U157" s="458">
        <v>25</v>
      </c>
      <c r="V157" s="458">
        <v>31</v>
      </c>
      <c r="W157" s="454">
        <v>63</v>
      </c>
      <c r="X157" s="458">
        <v>29</v>
      </c>
      <c r="Y157" s="459">
        <v>34</v>
      </c>
      <c r="Z157" s="453">
        <v>59</v>
      </c>
      <c r="AA157" s="460">
        <v>29</v>
      </c>
      <c r="AB157" s="474">
        <v>30</v>
      </c>
    </row>
    <row r="158" spans="2:28" x14ac:dyDescent="0.25">
      <c r="B158" s="34" t="s">
        <v>832</v>
      </c>
      <c r="C158" s="22"/>
      <c r="D158" s="22"/>
      <c r="E158" s="16"/>
      <c r="F158" s="470"/>
      <c r="G158" s="470"/>
      <c r="H158" s="470"/>
      <c r="I158" s="470"/>
      <c r="J158" s="470"/>
      <c r="K158" s="470"/>
      <c r="L158" s="470"/>
      <c r="M158" s="470"/>
      <c r="N158" s="470"/>
      <c r="O158" s="470"/>
      <c r="P158" s="470"/>
      <c r="Q158" s="470"/>
      <c r="R158" s="475"/>
      <c r="S158" s="475"/>
      <c r="T158" s="470"/>
      <c r="U158" s="475"/>
      <c r="V158" s="475"/>
      <c r="W158" s="470"/>
      <c r="X158" s="475"/>
      <c r="Y158" s="475"/>
      <c r="Z158" s="72"/>
      <c r="AA158" s="475"/>
      <c r="AB158" s="475"/>
    </row>
    <row r="159" spans="2:28" x14ac:dyDescent="0.25">
      <c r="B159" s="4" t="s">
        <v>54</v>
      </c>
      <c r="Z159" s="15"/>
    </row>
    <row r="160" spans="2:28" x14ac:dyDescent="0.25">
      <c r="B160" s="4"/>
      <c r="Z160" s="15"/>
    </row>
    <row r="161" spans="2:28" s="398" customFormat="1" x14ac:dyDescent="0.25">
      <c r="B161" s="4"/>
      <c r="Z161" s="392"/>
    </row>
    <row r="162" spans="2:28" s="398" customFormat="1" x14ac:dyDescent="0.25">
      <c r="B162" s="399" t="s">
        <v>155</v>
      </c>
      <c r="Z162" s="392"/>
    </row>
    <row r="163" spans="2:28" x14ac:dyDescent="0.25">
      <c r="Z163" s="15"/>
    </row>
    <row r="164" spans="2:28" x14ac:dyDescent="0.25">
      <c r="B164" s="400" t="s">
        <v>1168</v>
      </c>
      <c r="Z164" s="15"/>
    </row>
    <row r="165" spans="2:28" x14ac:dyDescent="0.25">
      <c r="B165" s="666" t="s">
        <v>2</v>
      </c>
      <c r="C165" s="666"/>
      <c r="D165" s="666" t="s">
        <v>81</v>
      </c>
      <c r="E165" s="704" t="s">
        <v>1349</v>
      </c>
      <c r="F165" s="704"/>
      <c r="G165" s="704"/>
      <c r="H165" s="704"/>
      <c r="I165" s="704"/>
      <c r="J165" s="704"/>
      <c r="K165" s="704"/>
      <c r="L165" s="704"/>
      <c r="M165" s="704"/>
      <c r="N165" s="704"/>
      <c r="O165" s="704"/>
      <c r="P165" s="704"/>
      <c r="Q165" s="704"/>
      <c r="R165" s="704"/>
      <c r="S165" s="704"/>
      <c r="T165" s="704"/>
      <c r="U165" s="704"/>
      <c r="V165" s="704"/>
      <c r="W165" s="704"/>
      <c r="X165" s="704"/>
      <c r="Y165" s="704"/>
      <c r="Z165" s="704"/>
      <c r="AA165" s="704"/>
      <c r="AB165" s="704"/>
    </row>
    <row r="166" spans="2:28" x14ac:dyDescent="0.25">
      <c r="B166" s="667"/>
      <c r="C166" s="667"/>
      <c r="D166" s="667"/>
      <c r="E166" s="705" t="s">
        <v>4</v>
      </c>
      <c r="F166" s="705"/>
      <c r="G166" s="705"/>
      <c r="H166" s="700" t="s">
        <v>5</v>
      </c>
      <c r="I166" s="700"/>
      <c r="J166" s="700"/>
      <c r="K166" s="700" t="s">
        <v>6</v>
      </c>
      <c r="L166" s="700"/>
      <c r="M166" s="700"/>
      <c r="N166" s="403"/>
      <c r="O166" s="700"/>
      <c r="P166" s="700"/>
      <c r="Q166" s="700" t="s">
        <v>8</v>
      </c>
      <c r="R166" s="700"/>
      <c r="S166" s="700"/>
      <c r="T166" s="700" t="s">
        <v>9</v>
      </c>
      <c r="U166" s="700"/>
      <c r="V166" s="700"/>
      <c r="W166" s="700" t="s">
        <v>10</v>
      </c>
      <c r="X166" s="700"/>
      <c r="Y166" s="700"/>
      <c r="Z166" s="700" t="s">
        <v>11</v>
      </c>
      <c r="AA166" s="700"/>
      <c r="AB166" s="700"/>
    </row>
    <row r="167" spans="2:28" ht="12.75" customHeight="1" x14ac:dyDescent="0.25">
      <c r="B167" s="698" t="s">
        <v>12</v>
      </c>
      <c r="C167" s="698"/>
      <c r="D167" s="445"/>
      <c r="E167" s="469" t="s">
        <v>90</v>
      </c>
      <c r="F167" s="469" t="s">
        <v>1263</v>
      </c>
      <c r="G167" s="469" t="s">
        <v>1264</v>
      </c>
      <c r="H167" s="469" t="s">
        <v>90</v>
      </c>
      <c r="I167" s="469" t="s">
        <v>1263</v>
      </c>
      <c r="J167" s="469" t="s">
        <v>1264</v>
      </c>
      <c r="K167" s="469" t="s">
        <v>90</v>
      </c>
      <c r="L167" s="469" t="s">
        <v>1263</v>
      </c>
      <c r="M167" s="469" t="s">
        <v>1264</v>
      </c>
      <c r="N167" s="469" t="s">
        <v>90</v>
      </c>
      <c r="O167" s="469" t="s">
        <v>1263</v>
      </c>
      <c r="P167" s="469" t="s">
        <v>1264</v>
      </c>
      <c r="Q167" s="469" t="s">
        <v>90</v>
      </c>
      <c r="R167" s="469" t="s">
        <v>1263</v>
      </c>
      <c r="S167" s="469" t="s">
        <v>1264</v>
      </c>
      <c r="T167" s="469" t="s">
        <v>90</v>
      </c>
      <c r="U167" s="469" t="s">
        <v>1263</v>
      </c>
      <c r="V167" s="469" t="s">
        <v>1264</v>
      </c>
      <c r="W167" s="469" t="s">
        <v>90</v>
      </c>
      <c r="X167" s="469" t="s">
        <v>1263</v>
      </c>
      <c r="Y167" s="469" t="s">
        <v>1264</v>
      </c>
      <c r="Z167" s="469" t="s">
        <v>90</v>
      </c>
      <c r="AA167" s="469" t="s">
        <v>1263</v>
      </c>
      <c r="AB167" s="469" t="s">
        <v>1264</v>
      </c>
    </row>
    <row r="168" spans="2:28" ht="13.5" customHeight="1" x14ac:dyDescent="0.25">
      <c r="B168" s="694"/>
      <c r="C168" s="694"/>
      <c r="D168" s="445" t="s">
        <v>83</v>
      </c>
      <c r="E168" s="450">
        <v>1</v>
      </c>
      <c r="F168" s="446">
        <v>0</v>
      </c>
      <c r="G168" s="449">
        <v>1</v>
      </c>
      <c r="H168" s="451">
        <v>7</v>
      </c>
      <c r="I168" s="446">
        <v>1</v>
      </c>
      <c r="J168" s="446">
        <v>6</v>
      </c>
      <c r="K168" s="450">
        <v>10</v>
      </c>
      <c r="L168" s="446">
        <v>3</v>
      </c>
      <c r="M168" s="449">
        <v>7</v>
      </c>
      <c r="N168" s="451">
        <v>11</v>
      </c>
      <c r="O168" s="445">
        <v>3</v>
      </c>
      <c r="P168" s="445">
        <v>8</v>
      </c>
      <c r="Q168" s="452">
        <v>18</v>
      </c>
      <c r="R168" s="445">
        <v>2</v>
      </c>
      <c r="S168" s="448">
        <v>16</v>
      </c>
      <c r="T168" s="447">
        <v>8</v>
      </c>
      <c r="U168" s="445">
        <v>1</v>
      </c>
      <c r="V168" s="445">
        <v>7</v>
      </c>
      <c r="W168" s="452">
        <v>12</v>
      </c>
      <c r="X168" s="445">
        <v>3</v>
      </c>
      <c r="Y168" s="448">
        <v>9</v>
      </c>
      <c r="Z168" s="447">
        <v>12</v>
      </c>
      <c r="AA168" s="445">
        <v>3</v>
      </c>
      <c r="AB168" s="445">
        <v>9</v>
      </c>
    </row>
    <row r="169" spans="2:28" x14ac:dyDescent="0.25">
      <c r="B169" s="694"/>
      <c r="C169" s="694"/>
      <c r="D169" s="445">
        <v>19</v>
      </c>
      <c r="E169" s="450">
        <v>5</v>
      </c>
      <c r="F169" s="446">
        <v>0</v>
      </c>
      <c r="G169" s="449">
        <v>5</v>
      </c>
      <c r="H169" s="451">
        <v>6</v>
      </c>
      <c r="I169" s="446">
        <v>0</v>
      </c>
      <c r="J169" s="446">
        <v>6</v>
      </c>
      <c r="K169" s="450">
        <v>11</v>
      </c>
      <c r="L169" s="446">
        <v>1</v>
      </c>
      <c r="M169" s="449">
        <v>10</v>
      </c>
      <c r="N169" s="451">
        <v>10</v>
      </c>
      <c r="O169" s="445">
        <v>2</v>
      </c>
      <c r="P169" s="445">
        <v>8</v>
      </c>
      <c r="Q169" s="452">
        <v>10</v>
      </c>
      <c r="R169" s="445">
        <v>2</v>
      </c>
      <c r="S169" s="448">
        <v>8</v>
      </c>
      <c r="T169" s="447">
        <v>10</v>
      </c>
      <c r="U169" s="445">
        <v>1</v>
      </c>
      <c r="V169" s="445">
        <v>9</v>
      </c>
      <c r="W169" s="452">
        <v>12</v>
      </c>
      <c r="X169" s="445">
        <v>2</v>
      </c>
      <c r="Y169" s="448">
        <v>10</v>
      </c>
      <c r="Z169" s="447">
        <v>18</v>
      </c>
      <c r="AA169" s="445">
        <v>6</v>
      </c>
      <c r="AB169" s="445">
        <v>12</v>
      </c>
    </row>
    <row r="170" spans="2:28" x14ac:dyDescent="0.25">
      <c r="B170" s="694"/>
      <c r="C170" s="694"/>
      <c r="D170" s="445">
        <v>20</v>
      </c>
      <c r="E170" s="450">
        <v>7</v>
      </c>
      <c r="F170" s="446">
        <v>0</v>
      </c>
      <c r="G170" s="449">
        <v>7</v>
      </c>
      <c r="H170" s="451">
        <v>8</v>
      </c>
      <c r="I170" s="446">
        <v>0</v>
      </c>
      <c r="J170" s="446">
        <v>8</v>
      </c>
      <c r="K170" s="450">
        <v>8</v>
      </c>
      <c r="L170" s="446">
        <v>2</v>
      </c>
      <c r="M170" s="449">
        <v>6</v>
      </c>
      <c r="N170" s="451">
        <v>12</v>
      </c>
      <c r="O170" s="445">
        <v>1</v>
      </c>
      <c r="P170" s="445">
        <v>11</v>
      </c>
      <c r="Q170" s="452">
        <v>12</v>
      </c>
      <c r="R170" s="445">
        <v>3</v>
      </c>
      <c r="S170" s="448">
        <v>9</v>
      </c>
      <c r="T170" s="447">
        <v>11</v>
      </c>
      <c r="U170" s="445">
        <v>3</v>
      </c>
      <c r="V170" s="445">
        <v>8</v>
      </c>
      <c r="W170" s="452">
        <v>16</v>
      </c>
      <c r="X170" s="445">
        <v>3</v>
      </c>
      <c r="Y170" s="448">
        <v>13</v>
      </c>
      <c r="Z170" s="447">
        <v>19</v>
      </c>
      <c r="AA170" s="445">
        <v>2</v>
      </c>
      <c r="AB170" s="445">
        <v>17</v>
      </c>
    </row>
    <row r="171" spans="2:28" x14ac:dyDescent="0.25">
      <c r="B171" s="694"/>
      <c r="C171" s="694"/>
      <c r="D171" s="445">
        <v>21</v>
      </c>
      <c r="E171" s="450">
        <v>5</v>
      </c>
      <c r="F171" s="446">
        <v>0</v>
      </c>
      <c r="G171" s="449">
        <v>5</v>
      </c>
      <c r="H171" s="451">
        <v>10</v>
      </c>
      <c r="I171" s="446">
        <v>1</v>
      </c>
      <c r="J171" s="446">
        <v>9</v>
      </c>
      <c r="K171" s="450">
        <v>8</v>
      </c>
      <c r="L171" s="446">
        <v>0</v>
      </c>
      <c r="M171" s="449">
        <v>8</v>
      </c>
      <c r="N171" s="451">
        <v>16</v>
      </c>
      <c r="O171" s="445">
        <v>2</v>
      </c>
      <c r="P171" s="445">
        <v>14</v>
      </c>
      <c r="Q171" s="452">
        <v>13</v>
      </c>
      <c r="R171" s="445">
        <v>1</v>
      </c>
      <c r="S171" s="448">
        <v>12</v>
      </c>
      <c r="T171" s="447">
        <v>8</v>
      </c>
      <c r="U171" s="445">
        <v>1</v>
      </c>
      <c r="V171" s="445">
        <v>7</v>
      </c>
      <c r="W171" s="452">
        <v>12</v>
      </c>
      <c r="X171" s="445">
        <v>3</v>
      </c>
      <c r="Y171" s="448">
        <v>9</v>
      </c>
      <c r="Z171" s="447">
        <v>15</v>
      </c>
      <c r="AA171" s="445">
        <v>3</v>
      </c>
      <c r="AB171" s="445">
        <v>12</v>
      </c>
    </row>
    <row r="172" spans="2:28" x14ac:dyDescent="0.25">
      <c r="B172" s="694"/>
      <c r="C172" s="694"/>
      <c r="D172" s="445">
        <v>22</v>
      </c>
      <c r="E172" s="450">
        <v>5</v>
      </c>
      <c r="F172" s="446">
        <v>0</v>
      </c>
      <c r="G172" s="449">
        <v>5</v>
      </c>
      <c r="H172" s="451">
        <v>8</v>
      </c>
      <c r="I172" s="446">
        <v>2</v>
      </c>
      <c r="J172" s="446">
        <v>6</v>
      </c>
      <c r="K172" s="450">
        <v>11</v>
      </c>
      <c r="L172" s="446">
        <v>0</v>
      </c>
      <c r="M172" s="449">
        <v>11</v>
      </c>
      <c r="N172" s="451">
        <v>16</v>
      </c>
      <c r="O172" s="445">
        <v>0</v>
      </c>
      <c r="P172" s="445">
        <v>16</v>
      </c>
      <c r="Q172" s="452">
        <v>13</v>
      </c>
      <c r="R172" s="445">
        <v>2</v>
      </c>
      <c r="S172" s="448">
        <v>11</v>
      </c>
      <c r="T172" s="447">
        <v>10</v>
      </c>
      <c r="U172" s="445">
        <v>2</v>
      </c>
      <c r="V172" s="445">
        <v>8</v>
      </c>
      <c r="W172" s="452">
        <v>5</v>
      </c>
      <c r="X172" s="445">
        <v>0</v>
      </c>
      <c r="Y172" s="448">
        <v>5</v>
      </c>
      <c r="Z172" s="447">
        <v>10</v>
      </c>
      <c r="AA172" s="445">
        <v>1</v>
      </c>
      <c r="AB172" s="445">
        <v>9</v>
      </c>
    </row>
    <row r="173" spans="2:28" x14ac:dyDescent="0.25">
      <c r="B173" s="694"/>
      <c r="C173" s="694"/>
      <c r="D173" s="445">
        <v>23</v>
      </c>
      <c r="E173" s="450">
        <v>6</v>
      </c>
      <c r="F173" s="446">
        <v>3</v>
      </c>
      <c r="G173" s="449">
        <v>3</v>
      </c>
      <c r="H173" s="451">
        <v>7</v>
      </c>
      <c r="I173" s="446">
        <v>1</v>
      </c>
      <c r="J173" s="446">
        <v>6</v>
      </c>
      <c r="K173" s="450">
        <v>10</v>
      </c>
      <c r="L173" s="446">
        <v>3</v>
      </c>
      <c r="M173" s="449">
        <v>7</v>
      </c>
      <c r="N173" s="451">
        <v>13</v>
      </c>
      <c r="O173" s="445">
        <v>2</v>
      </c>
      <c r="P173" s="445">
        <v>11</v>
      </c>
      <c r="Q173" s="452">
        <v>16</v>
      </c>
      <c r="R173" s="445">
        <v>0</v>
      </c>
      <c r="S173" s="448">
        <v>16</v>
      </c>
      <c r="T173" s="447">
        <v>13</v>
      </c>
      <c r="U173" s="445">
        <v>2</v>
      </c>
      <c r="V173" s="445">
        <v>11</v>
      </c>
      <c r="W173" s="452">
        <v>4</v>
      </c>
      <c r="X173" s="445">
        <v>1</v>
      </c>
      <c r="Y173" s="448">
        <v>3</v>
      </c>
      <c r="Z173" s="447">
        <v>4</v>
      </c>
      <c r="AA173" s="445">
        <v>0</v>
      </c>
      <c r="AB173" s="445">
        <v>4</v>
      </c>
    </row>
    <row r="174" spans="2:28" x14ac:dyDescent="0.25">
      <c r="B174" s="694"/>
      <c r="C174" s="694"/>
      <c r="D174" s="445">
        <v>24</v>
      </c>
      <c r="E174" s="450">
        <v>3</v>
      </c>
      <c r="F174" s="446">
        <v>0</v>
      </c>
      <c r="G174" s="449">
        <v>3</v>
      </c>
      <c r="H174" s="451">
        <v>3</v>
      </c>
      <c r="I174" s="446">
        <v>0</v>
      </c>
      <c r="J174" s="446">
        <v>3</v>
      </c>
      <c r="K174" s="450">
        <v>7</v>
      </c>
      <c r="L174" s="446">
        <v>1</v>
      </c>
      <c r="M174" s="449">
        <v>6</v>
      </c>
      <c r="N174" s="451">
        <v>8</v>
      </c>
      <c r="O174" s="445">
        <v>1</v>
      </c>
      <c r="P174" s="445">
        <v>7</v>
      </c>
      <c r="Q174" s="452">
        <v>8</v>
      </c>
      <c r="R174" s="445">
        <v>0</v>
      </c>
      <c r="S174" s="448">
        <v>8</v>
      </c>
      <c r="T174" s="447">
        <v>6</v>
      </c>
      <c r="U174" s="445">
        <v>0</v>
      </c>
      <c r="V174" s="445">
        <v>6</v>
      </c>
      <c r="W174" s="452">
        <v>10</v>
      </c>
      <c r="X174" s="445">
        <v>2</v>
      </c>
      <c r="Y174" s="448">
        <v>8</v>
      </c>
      <c r="Z174" s="447">
        <v>4</v>
      </c>
      <c r="AA174" s="445">
        <v>0</v>
      </c>
      <c r="AB174" s="445">
        <v>4</v>
      </c>
    </row>
    <row r="175" spans="2:28" x14ac:dyDescent="0.25">
      <c r="B175" s="694"/>
      <c r="C175" s="694"/>
      <c r="D175" s="445">
        <v>25</v>
      </c>
      <c r="E175" s="450">
        <v>2</v>
      </c>
      <c r="F175" s="446">
        <v>0</v>
      </c>
      <c r="G175" s="449">
        <v>2</v>
      </c>
      <c r="H175" s="451">
        <v>4</v>
      </c>
      <c r="I175" s="446">
        <v>0</v>
      </c>
      <c r="J175" s="446">
        <v>4</v>
      </c>
      <c r="K175" s="450">
        <v>3</v>
      </c>
      <c r="L175" s="446">
        <v>0</v>
      </c>
      <c r="M175" s="449">
        <v>3</v>
      </c>
      <c r="N175" s="451">
        <v>10</v>
      </c>
      <c r="O175" s="445">
        <v>0</v>
      </c>
      <c r="P175" s="445">
        <v>10</v>
      </c>
      <c r="Q175" s="452">
        <v>6</v>
      </c>
      <c r="R175" s="445">
        <v>0</v>
      </c>
      <c r="S175" s="448">
        <v>6</v>
      </c>
      <c r="T175" s="447">
        <v>6</v>
      </c>
      <c r="U175" s="445">
        <v>0</v>
      </c>
      <c r="V175" s="445">
        <v>6</v>
      </c>
      <c r="W175" s="452">
        <v>5</v>
      </c>
      <c r="X175" s="445">
        <v>0</v>
      </c>
      <c r="Y175" s="448">
        <v>5</v>
      </c>
      <c r="Z175" s="447">
        <v>6</v>
      </c>
      <c r="AA175" s="445">
        <v>0</v>
      </c>
      <c r="AB175" s="445">
        <v>6</v>
      </c>
    </row>
    <row r="176" spans="2:28" x14ac:dyDescent="0.25">
      <c r="B176" s="694"/>
      <c r="C176" s="694"/>
      <c r="D176" s="445">
        <v>26</v>
      </c>
      <c r="E176" s="450">
        <v>1</v>
      </c>
      <c r="F176" s="446">
        <v>0</v>
      </c>
      <c r="G176" s="449">
        <v>1</v>
      </c>
      <c r="H176" s="451">
        <v>2</v>
      </c>
      <c r="I176" s="446">
        <v>0</v>
      </c>
      <c r="J176" s="446">
        <v>2</v>
      </c>
      <c r="K176" s="450">
        <v>5</v>
      </c>
      <c r="L176" s="446">
        <v>0</v>
      </c>
      <c r="M176" s="449">
        <v>5</v>
      </c>
      <c r="N176" s="451">
        <v>3</v>
      </c>
      <c r="O176" s="445">
        <v>0</v>
      </c>
      <c r="P176" s="445">
        <v>3</v>
      </c>
      <c r="Q176" s="452">
        <v>8</v>
      </c>
      <c r="R176" s="445">
        <v>1</v>
      </c>
      <c r="S176" s="448">
        <v>7</v>
      </c>
      <c r="T176" s="447">
        <v>5</v>
      </c>
      <c r="U176" s="445">
        <v>0</v>
      </c>
      <c r="V176" s="445">
        <v>5</v>
      </c>
      <c r="W176" s="452">
        <v>6</v>
      </c>
      <c r="X176" s="445">
        <v>0</v>
      </c>
      <c r="Y176" s="448">
        <v>6</v>
      </c>
      <c r="Z176" s="447">
        <v>5</v>
      </c>
      <c r="AA176" s="445">
        <v>0</v>
      </c>
      <c r="AB176" s="445">
        <v>5</v>
      </c>
    </row>
    <row r="177" spans="2:29" x14ac:dyDescent="0.25">
      <c r="B177" s="694"/>
      <c r="C177" s="694"/>
      <c r="D177" s="445">
        <v>27</v>
      </c>
      <c r="E177" s="450">
        <v>0</v>
      </c>
      <c r="F177" s="446">
        <v>0</v>
      </c>
      <c r="G177" s="449">
        <v>0</v>
      </c>
      <c r="H177" s="451">
        <v>1</v>
      </c>
      <c r="I177" s="446">
        <v>0</v>
      </c>
      <c r="J177" s="446">
        <v>1</v>
      </c>
      <c r="K177" s="450">
        <v>2</v>
      </c>
      <c r="L177" s="446">
        <v>0</v>
      </c>
      <c r="M177" s="449">
        <v>2</v>
      </c>
      <c r="N177" s="451">
        <v>3</v>
      </c>
      <c r="O177" s="445">
        <v>0</v>
      </c>
      <c r="P177" s="445">
        <v>3</v>
      </c>
      <c r="Q177" s="452">
        <v>1</v>
      </c>
      <c r="R177" s="445">
        <v>0</v>
      </c>
      <c r="S177" s="448">
        <v>1</v>
      </c>
      <c r="T177" s="447">
        <v>5</v>
      </c>
      <c r="U177" s="445">
        <v>0</v>
      </c>
      <c r="V177" s="445">
        <v>5</v>
      </c>
      <c r="W177" s="452">
        <v>4</v>
      </c>
      <c r="X177" s="445">
        <v>0</v>
      </c>
      <c r="Y177" s="448">
        <v>4</v>
      </c>
      <c r="Z177" s="447">
        <v>2</v>
      </c>
      <c r="AA177" s="445">
        <v>1</v>
      </c>
      <c r="AB177" s="445">
        <v>1</v>
      </c>
    </row>
    <row r="178" spans="2:29" x14ac:dyDescent="0.25">
      <c r="B178" s="694"/>
      <c r="C178" s="694"/>
      <c r="D178" s="445">
        <v>28</v>
      </c>
      <c r="E178" s="450">
        <v>0</v>
      </c>
      <c r="F178" s="446">
        <v>0</v>
      </c>
      <c r="G178" s="449">
        <v>0</v>
      </c>
      <c r="H178" s="451">
        <v>0</v>
      </c>
      <c r="I178" s="446">
        <v>0</v>
      </c>
      <c r="J178" s="446">
        <v>0</v>
      </c>
      <c r="K178" s="450">
        <v>1</v>
      </c>
      <c r="L178" s="446">
        <v>0</v>
      </c>
      <c r="M178" s="449">
        <v>1</v>
      </c>
      <c r="N178" s="451">
        <v>2</v>
      </c>
      <c r="O178" s="445">
        <v>0</v>
      </c>
      <c r="P178" s="445">
        <v>2</v>
      </c>
      <c r="Q178" s="452">
        <v>4</v>
      </c>
      <c r="R178" s="445">
        <v>0</v>
      </c>
      <c r="S178" s="448">
        <v>4</v>
      </c>
      <c r="T178" s="447">
        <v>1</v>
      </c>
      <c r="U178" s="445">
        <v>0</v>
      </c>
      <c r="V178" s="445">
        <v>1</v>
      </c>
      <c r="W178" s="452">
        <v>5</v>
      </c>
      <c r="X178" s="445">
        <v>0</v>
      </c>
      <c r="Y178" s="448">
        <v>5</v>
      </c>
      <c r="Z178" s="447">
        <v>2</v>
      </c>
      <c r="AA178" s="445">
        <v>0</v>
      </c>
      <c r="AB178" s="445">
        <v>2</v>
      </c>
    </row>
    <row r="179" spans="2:29" x14ac:dyDescent="0.25">
      <c r="B179" s="694"/>
      <c r="C179" s="694"/>
      <c r="D179" s="445">
        <v>29</v>
      </c>
      <c r="E179" s="450">
        <v>0</v>
      </c>
      <c r="F179" s="446">
        <v>0</v>
      </c>
      <c r="G179" s="449">
        <v>0</v>
      </c>
      <c r="H179" s="451">
        <v>0</v>
      </c>
      <c r="I179" s="446">
        <v>0</v>
      </c>
      <c r="J179" s="446">
        <v>0</v>
      </c>
      <c r="K179" s="450">
        <v>0</v>
      </c>
      <c r="L179" s="446">
        <v>0</v>
      </c>
      <c r="M179" s="449">
        <v>0</v>
      </c>
      <c r="N179" s="451">
        <v>1</v>
      </c>
      <c r="O179" s="445">
        <v>0</v>
      </c>
      <c r="P179" s="445">
        <v>1</v>
      </c>
      <c r="Q179" s="452">
        <v>0</v>
      </c>
      <c r="R179" s="445">
        <v>0</v>
      </c>
      <c r="S179" s="448">
        <v>0</v>
      </c>
      <c r="T179" s="447">
        <v>2</v>
      </c>
      <c r="U179" s="445">
        <v>0</v>
      </c>
      <c r="V179" s="445">
        <v>2</v>
      </c>
      <c r="W179" s="452">
        <v>1</v>
      </c>
      <c r="X179" s="445">
        <v>0</v>
      </c>
      <c r="Y179" s="448">
        <v>1</v>
      </c>
      <c r="Z179" s="447">
        <v>1</v>
      </c>
      <c r="AA179" s="445">
        <v>0</v>
      </c>
      <c r="AB179" s="445">
        <v>1</v>
      </c>
    </row>
    <row r="180" spans="2:29" x14ac:dyDescent="0.25">
      <c r="B180" s="694"/>
      <c r="C180" s="694"/>
      <c r="D180" s="445" t="s">
        <v>84</v>
      </c>
      <c r="E180" s="450">
        <v>0</v>
      </c>
      <c r="F180" s="446">
        <v>0</v>
      </c>
      <c r="G180" s="449">
        <v>0</v>
      </c>
      <c r="H180" s="451">
        <v>2</v>
      </c>
      <c r="I180" s="446">
        <v>0</v>
      </c>
      <c r="J180" s="446">
        <v>2</v>
      </c>
      <c r="K180" s="450">
        <v>1</v>
      </c>
      <c r="L180" s="446">
        <v>0</v>
      </c>
      <c r="M180" s="449">
        <v>1</v>
      </c>
      <c r="N180" s="451">
        <v>1</v>
      </c>
      <c r="O180" s="445">
        <v>0</v>
      </c>
      <c r="P180" s="445">
        <v>1</v>
      </c>
      <c r="Q180" s="452">
        <v>3</v>
      </c>
      <c r="R180" s="445">
        <v>0</v>
      </c>
      <c r="S180" s="448">
        <v>3</v>
      </c>
      <c r="T180" s="447">
        <v>4</v>
      </c>
      <c r="U180" s="445">
        <v>0</v>
      </c>
      <c r="V180" s="445">
        <v>4</v>
      </c>
      <c r="W180" s="452">
        <v>4</v>
      </c>
      <c r="X180" s="445">
        <v>0</v>
      </c>
      <c r="Y180" s="448">
        <v>4</v>
      </c>
      <c r="Z180" s="447">
        <v>6</v>
      </c>
      <c r="AA180" s="445">
        <v>0</v>
      </c>
      <c r="AB180" s="445">
        <v>6</v>
      </c>
    </row>
    <row r="181" spans="2:29" x14ac:dyDescent="0.25">
      <c r="B181" s="694"/>
      <c r="C181" s="694"/>
      <c r="D181" s="445" t="s">
        <v>85</v>
      </c>
      <c r="E181" s="450">
        <v>0</v>
      </c>
      <c r="F181" s="446">
        <v>0</v>
      </c>
      <c r="G181" s="449">
        <v>0</v>
      </c>
      <c r="H181" s="451">
        <v>1</v>
      </c>
      <c r="I181" s="446">
        <v>0</v>
      </c>
      <c r="J181" s="446">
        <v>1</v>
      </c>
      <c r="K181" s="450">
        <v>2</v>
      </c>
      <c r="L181" s="446">
        <v>0</v>
      </c>
      <c r="M181" s="449">
        <v>2</v>
      </c>
      <c r="N181" s="451">
        <v>1</v>
      </c>
      <c r="O181" s="445">
        <v>0</v>
      </c>
      <c r="P181" s="445">
        <v>1</v>
      </c>
      <c r="Q181" s="452">
        <v>0</v>
      </c>
      <c r="R181" s="445">
        <v>0</v>
      </c>
      <c r="S181" s="448">
        <v>0</v>
      </c>
      <c r="T181" s="447">
        <v>1</v>
      </c>
      <c r="U181" s="445">
        <v>0</v>
      </c>
      <c r="V181" s="445">
        <v>1</v>
      </c>
      <c r="W181" s="452">
        <v>1</v>
      </c>
      <c r="X181" s="445">
        <v>0</v>
      </c>
      <c r="Y181" s="448">
        <v>1</v>
      </c>
      <c r="Z181" s="447">
        <v>1</v>
      </c>
      <c r="AA181" s="445">
        <v>0</v>
      </c>
      <c r="AB181" s="445">
        <v>1</v>
      </c>
    </row>
    <row r="182" spans="2:29" x14ac:dyDescent="0.25">
      <c r="B182" s="694"/>
      <c r="C182" s="694"/>
      <c r="D182" s="461" t="s">
        <v>86</v>
      </c>
      <c r="E182" s="462">
        <v>0</v>
      </c>
      <c r="F182" s="463">
        <v>0</v>
      </c>
      <c r="G182" s="464">
        <v>0</v>
      </c>
      <c r="H182" s="465">
        <v>0</v>
      </c>
      <c r="I182" s="463">
        <v>0</v>
      </c>
      <c r="J182" s="463">
        <v>0</v>
      </c>
      <c r="K182" s="462">
        <v>0</v>
      </c>
      <c r="L182" s="463">
        <v>0</v>
      </c>
      <c r="M182" s="464">
        <v>0</v>
      </c>
      <c r="N182" s="465">
        <v>2</v>
      </c>
      <c r="O182" s="461">
        <v>0</v>
      </c>
      <c r="P182" s="461">
        <v>2</v>
      </c>
      <c r="Q182" s="466">
        <v>2</v>
      </c>
      <c r="R182" s="461">
        <v>0</v>
      </c>
      <c r="S182" s="467">
        <v>2</v>
      </c>
      <c r="T182" s="468">
        <v>3</v>
      </c>
      <c r="U182" s="461">
        <v>0</v>
      </c>
      <c r="V182" s="461">
        <v>3</v>
      </c>
      <c r="W182" s="466">
        <v>2</v>
      </c>
      <c r="X182" s="461">
        <v>0</v>
      </c>
      <c r="Y182" s="467">
        <v>2</v>
      </c>
      <c r="Z182" s="468">
        <v>3</v>
      </c>
      <c r="AA182" s="461">
        <v>0</v>
      </c>
      <c r="AB182" s="445">
        <v>3</v>
      </c>
    </row>
    <row r="183" spans="2:29" ht="15.75" thickBot="1" x14ac:dyDescent="0.3">
      <c r="B183" s="696"/>
      <c r="C183" s="696"/>
      <c r="D183" s="453" t="s">
        <v>82</v>
      </c>
      <c r="E183" s="454">
        <v>35</v>
      </c>
      <c r="F183" s="455">
        <v>3</v>
      </c>
      <c r="G183" s="456">
        <v>32</v>
      </c>
      <c r="H183" s="453">
        <v>59</v>
      </c>
      <c r="I183" s="457">
        <v>5</v>
      </c>
      <c r="J183" s="457">
        <v>54</v>
      </c>
      <c r="K183" s="454">
        <v>79</v>
      </c>
      <c r="L183" s="458">
        <v>10</v>
      </c>
      <c r="M183" s="459">
        <v>69</v>
      </c>
      <c r="N183" s="453">
        <v>109</v>
      </c>
      <c r="O183" s="458">
        <v>11</v>
      </c>
      <c r="P183" s="458">
        <v>98</v>
      </c>
      <c r="Q183" s="454">
        <v>114</v>
      </c>
      <c r="R183" s="458">
        <v>11</v>
      </c>
      <c r="S183" s="459">
        <v>103</v>
      </c>
      <c r="T183" s="453">
        <v>93</v>
      </c>
      <c r="U183" s="458">
        <v>10</v>
      </c>
      <c r="V183" s="458">
        <v>83</v>
      </c>
      <c r="W183" s="454">
        <v>99</v>
      </c>
      <c r="X183" s="458">
        <v>14</v>
      </c>
      <c r="Y183" s="459">
        <v>85</v>
      </c>
      <c r="Z183" s="453">
        <v>108</v>
      </c>
      <c r="AA183" s="460">
        <v>16</v>
      </c>
      <c r="AB183" s="474">
        <v>92</v>
      </c>
    </row>
    <row r="184" spans="2:29" x14ac:dyDescent="0.25">
      <c r="B184" s="398"/>
      <c r="C184" s="398"/>
      <c r="D184" s="398"/>
      <c r="E184" s="16"/>
      <c r="F184" s="470"/>
      <c r="G184" s="470"/>
      <c r="H184" s="470"/>
      <c r="I184" s="470"/>
      <c r="J184" s="470"/>
      <c r="K184" s="470"/>
      <c r="L184" s="470"/>
      <c r="M184" s="470"/>
      <c r="N184" s="470"/>
      <c r="O184" s="470"/>
      <c r="P184" s="470"/>
      <c r="Q184" s="470"/>
      <c r="R184" s="470"/>
      <c r="S184" s="470"/>
      <c r="T184" s="470"/>
      <c r="U184" s="470"/>
      <c r="V184" s="471"/>
      <c r="W184" s="470"/>
      <c r="X184" s="470"/>
      <c r="Y184" s="472"/>
      <c r="Z184" s="470"/>
      <c r="AA184" s="470"/>
      <c r="AB184" s="72"/>
    </row>
    <row r="185" spans="2:29" x14ac:dyDescent="0.25">
      <c r="B185" s="666" t="s">
        <v>2</v>
      </c>
      <c r="C185" s="666"/>
      <c r="D185" s="666" t="s">
        <v>81</v>
      </c>
      <c r="E185" s="704" t="s">
        <v>51</v>
      </c>
      <c r="F185" s="704"/>
      <c r="G185" s="704"/>
      <c r="H185" s="704"/>
      <c r="I185" s="704"/>
      <c r="J185" s="704"/>
      <c r="K185" s="704"/>
      <c r="L185" s="704"/>
      <c r="M185" s="704"/>
      <c r="N185" s="704"/>
      <c r="O185" s="704"/>
      <c r="P185" s="704"/>
      <c r="Q185" s="704"/>
      <c r="R185" s="704"/>
      <c r="S185" s="704"/>
      <c r="T185" s="704"/>
      <c r="U185" s="704"/>
      <c r="V185" s="704"/>
      <c r="W185" s="704"/>
      <c r="X185" s="704"/>
      <c r="Y185" s="704"/>
      <c r="Z185" s="398"/>
      <c r="AA185" s="398"/>
      <c r="AB185" s="398"/>
      <c r="AC185" s="398"/>
    </row>
    <row r="186" spans="2:29" x14ac:dyDescent="0.25">
      <c r="B186" s="667"/>
      <c r="C186" s="667"/>
      <c r="D186" s="667"/>
      <c r="E186" s="705" t="s">
        <v>4</v>
      </c>
      <c r="F186" s="705"/>
      <c r="G186" s="705"/>
      <c r="H186" s="700" t="s">
        <v>5</v>
      </c>
      <c r="I186" s="700"/>
      <c r="J186" s="700"/>
      <c r="K186" s="700" t="s">
        <v>6</v>
      </c>
      <c r="L186" s="700"/>
      <c r="M186" s="700"/>
      <c r="N186" s="700" t="s">
        <v>7</v>
      </c>
      <c r="O186" s="700"/>
      <c r="P186" s="700"/>
      <c r="Q186" s="700" t="s">
        <v>8</v>
      </c>
      <c r="R186" s="700"/>
      <c r="S186" s="700"/>
      <c r="T186" s="700" t="s">
        <v>9</v>
      </c>
      <c r="U186" s="700"/>
      <c r="V186" s="700"/>
      <c r="W186" s="700" t="s">
        <v>10</v>
      </c>
      <c r="X186" s="700"/>
      <c r="Y186" s="700"/>
      <c r="Z186" s="700" t="s">
        <v>11</v>
      </c>
      <c r="AA186" s="700"/>
      <c r="AB186" s="700"/>
    </row>
    <row r="187" spans="2:29" ht="12.75" customHeight="1" x14ac:dyDescent="0.25">
      <c r="B187" s="698" t="s">
        <v>13</v>
      </c>
      <c r="C187" s="698"/>
      <c r="D187" s="445"/>
      <c r="E187" s="469" t="s">
        <v>90</v>
      </c>
      <c r="F187" s="469" t="s">
        <v>1263</v>
      </c>
      <c r="G187" s="469" t="s">
        <v>1264</v>
      </c>
      <c r="H187" s="469" t="s">
        <v>90</v>
      </c>
      <c r="I187" s="469" t="s">
        <v>1263</v>
      </c>
      <c r="J187" s="469" t="s">
        <v>1264</v>
      </c>
      <c r="K187" s="601" t="s">
        <v>90</v>
      </c>
      <c r="L187" s="601" t="s">
        <v>1263</v>
      </c>
      <c r="M187" s="601" t="s">
        <v>1264</v>
      </c>
      <c r="N187" s="601" t="s">
        <v>90</v>
      </c>
      <c r="O187" s="601" t="s">
        <v>1263</v>
      </c>
      <c r="P187" s="601" t="s">
        <v>1264</v>
      </c>
      <c r="Q187" s="469" t="s">
        <v>90</v>
      </c>
      <c r="R187" s="469" t="s">
        <v>1263</v>
      </c>
      <c r="S187" s="469" t="s">
        <v>1264</v>
      </c>
      <c r="T187" s="469" t="s">
        <v>90</v>
      </c>
      <c r="U187" s="469" t="s">
        <v>1263</v>
      </c>
      <c r="V187" s="469" t="s">
        <v>1264</v>
      </c>
      <c r="W187" s="469" t="s">
        <v>90</v>
      </c>
      <c r="X187" s="469" t="s">
        <v>1263</v>
      </c>
      <c r="Y187" s="469" t="s">
        <v>1264</v>
      </c>
      <c r="Z187" s="469" t="s">
        <v>90</v>
      </c>
      <c r="AA187" s="469" t="s">
        <v>1263</v>
      </c>
      <c r="AB187" s="469" t="s">
        <v>1264</v>
      </c>
    </row>
    <row r="188" spans="2:29" ht="13.5" customHeight="1" x14ac:dyDescent="0.25">
      <c r="B188" s="694"/>
      <c r="C188" s="694"/>
      <c r="D188" s="445" t="s">
        <v>83</v>
      </c>
      <c r="E188" s="450">
        <v>2</v>
      </c>
      <c r="F188" s="446">
        <v>1</v>
      </c>
      <c r="G188" s="449">
        <v>1</v>
      </c>
      <c r="H188" s="451">
        <v>16</v>
      </c>
      <c r="I188" s="446">
        <v>7</v>
      </c>
      <c r="J188" s="446">
        <v>9</v>
      </c>
      <c r="K188" s="450">
        <v>22</v>
      </c>
      <c r="L188" s="446">
        <v>13</v>
      </c>
      <c r="M188" s="446">
        <v>9</v>
      </c>
      <c r="N188" s="450">
        <v>21</v>
      </c>
      <c r="O188" s="446">
        <v>12</v>
      </c>
      <c r="P188" s="449">
        <v>9</v>
      </c>
      <c r="Q188" s="451">
        <v>16</v>
      </c>
      <c r="R188" s="445">
        <v>7</v>
      </c>
      <c r="S188" s="445">
        <v>9</v>
      </c>
      <c r="T188" s="452">
        <v>16</v>
      </c>
      <c r="U188" s="445">
        <v>7</v>
      </c>
      <c r="V188" s="448">
        <v>9</v>
      </c>
      <c r="W188" s="447">
        <v>25</v>
      </c>
      <c r="X188" s="445">
        <v>14</v>
      </c>
      <c r="Y188" s="445">
        <v>11</v>
      </c>
      <c r="Z188" s="452">
        <v>18</v>
      </c>
      <c r="AA188" s="445">
        <v>11</v>
      </c>
      <c r="AB188" s="448">
        <v>7</v>
      </c>
    </row>
    <row r="189" spans="2:29" x14ac:dyDescent="0.25">
      <c r="B189" s="694"/>
      <c r="C189" s="694"/>
      <c r="D189" s="445">
        <v>19</v>
      </c>
      <c r="E189" s="450">
        <v>9</v>
      </c>
      <c r="F189" s="446">
        <v>5</v>
      </c>
      <c r="G189" s="449">
        <v>4</v>
      </c>
      <c r="H189" s="451">
        <v>8</v>
      </c>
      <c r="I189" s="446">
        <v>5</v>
      </c>
      <c r="J189" s="446">
        <v>3</v>
      </c>
      <c r="K189" s="450">
        <v>17</v>
      </c>
      <c r="L189" s="446">
        <v>9</v>
      </c>
      <c r="M189" s="446">
        <v>8</v>
      </c>
      <c r="N189" s="450">
        <v>31</v>
      </c>
      <c r="O189" s="446">
        <v>13</v>
      </c>
      <c r="P189" s="449">
        <v>18</v>
      </c>
      <c r="Q189" s="451">
        <v>37</v>
      </c>
      <c r="R189" s="445">
        <v>21</v>
      </c>
      <c r="S189" s="445">
        <v>16</v>
      </c>
      <c r="T189" s="452">
        <v>30</v>
      </c>
      <c r="U189" s="445">
        <v>13</v>
      </c>
      <c r="V189" s="448">
        <v>17</v>
      </c>
      <c r="W189" s="447">
        <v>22</v>
      </c>
      <c r="X189" s="445">
        <v>10</v>
      </c>
      <c r="Y189" s="445">
        <v>12</v>
      </c>
      <c r="Z189" s="452">
        <v>34</v>
      </c>
      <c r="AA189" s="445">
        <v>17</v>
      </c>
      <c r="AB189" s="448">
        <v>17</v>
      </c>
    </row>
    <row r="190" spans="2:29" x14ac:dyDescent="0.25">
      <c r="B190" s="694"/>
      <c r="C190" s="694"/>
      <c r="D190" s="445">
        <v>20</v>
      </c>
      <c r="E190" s="450">
        <v>6</v>
      </c>
      <c r="F190" s="446">
        <v>2</v>
      </c>
      <c r="G190" s="449">
        <v>4</v>
      </c>
      <c r="H190" s="451">
        <v>19</v>
      </c>
      <c r="I190" s="446">
        <v>7</v>
      </c>
      <c r="J190" s="446">
        <v>12</v>
      </c>
      <c r="K190" s="450">
        <v>11</v>
      </c>
      <c r="L190" s="446">
        <v>6</v>
      </c>
      <c r="M190" s="446">
        <v>5</v>
      </c>
      <c r="N190" s="450">
        <v>19</v>
      </c>
      <c r="O190" s="446">
        <v>8</v>
      </c>
      <c r="P190" s="449">
        <v>11</v>
      </c>
      <c r="Q190" s="451">
        <v>38</v>
      </c>
      <c r="R190" s="445">
        <v>18</v>
      </c>
      <c r="S190" s="445">
        <v>20</v>
      </c>
      <c r="T190" s="452">
        <v>46</v>
      </c>
      <c r="U190" s="445">
        <v>24</v>
      </c>
      <c r="V190" s="448">
        <v>22</v>
      </c>
      <c r="W190" s="447">
        <v>37</v>
      </c>
      <c r="X190" s="445">
        <v>15</v>
      </c>
      <c r="Y190" s="445">
        <v>22</v>
      </c>
      <c r="Z190" s="452">
        <v>27</v>
      </c>
      <c r="AA190" s="445">
        <v>12</v>
      </c>
      <c r="AB190" s="448">
        <v>15</v>
      </c>
    </row>
    <row r="191" spans="2:29" x14ac:dyDescent="0.25">
      <c r="B191" s="694"/>
      <c r="C191" s="694"/>
      <c r="D191" s="445">
        <v>21</v>
      </c>
      <c r="E191" s="450">
        <v>5</v>
      </c>
      <c r="F191" s="446">
        <v>2</v>
      </c>
      <c r="G191" s="449">
        <v>3</v>
      </c>
      <c r="H191" s="451">
        <v>10</v>
      </c>
      <c r="I191" s="446">
        <v>5</v>
      </c>
      <c r="J191" s="446">
        <v>5</v>
      </c>
      <c r="K191" s="450">
        <v>23</v>
      </c>
      <c r="L191" s="446">
        <v>8</v>
      </c>
      <c r="M191" s="446">
        <v>15</v>
      </c>
      <c r="N191" s="450">
        <v>13</v>
      </c>
      <c r="O191" s="446">
        <v>6</v>
      </c>
      <c r="P191" s="449">
        <v>7</v>
      </c>
      <c r="Q191" s="451">
        <v>27</v>
      </c>
      <c r="R191" s="445">
        <v>9</v>
      </c>
      <c r="S191" s="445">
        <v>18</v>
      </c>
      <c r="T191" s="452">
        <v>39</v>
      </c>
      <c r="U191" s="445">
        <v>19</v>
      </c>
      <c r="V191" s="448">
        <v>20</v>
      </c>
      <c r="W191" s="447">
        <v>46</v>
      </c>
      <c r="X191" s="445">
        <v>23</v>
      </c>
      <c r="Y191" s="445">
        <v>23</v>
      </c>
      <c r="Z191" s="452">
        <v>44</v>
      </c>
      <c r="AA191" s="445">
        <v>18</v>
      </c>
      <c r="AB191" s="448">
        <v>26</v>
      </c>
    </row>
    <row r="192" spans="2:29" x14ac:dyDescent="0.25">
      <c r="B192" s="694"/>
      <c r="C192" s="694"/>
      <c r="D192" s="445">
        <v>22</v>
      </c>
      <c r="E192" s="450">
        <v>6</v>
      </c>
      <c r="F192" s="446">
        <v>2</v>
      </c>
      <c r="G192" s="449">
        <v>4</v>
      </c>
      <c r="H192" s="451">
        <v>8</v>
      </c>
      <c r="I192" s="446">
        <v>3</v>
      </c>
      <c r="J192" s="446">
        <v>5</v>
      </c>
      <c r="K192" s="450">
        <v>11</v>
      </c>
      <c r="L192" s="446">
        <v>5</v>
      </c>
      <c r="M192" s="446">
        <v>6</v>
      </c>
      <c r="N192" s="450">
        <v>24</v>
      </c>
      <c r="O192" s="446">
        <v>9</v>
      </c>
      <c r="P192" s="449">
        <v>15</v>
      </c>
      <c r="Q192" s="451">
        <v>12</v>
      </c>
      <c r="R192" s="445">
        <v>5</v>
      </c>
      <c r="S192" s="445">
        <v>7</v>
      </c>
      <c r="T192" s="452">
        <v>22</v>
      </c>
      <c r="U192" s="445">
        <v>9</v>
      </c>
      <c r="V192" s="448">
        <v>13</v>
      </c>
      <c r="W192" s="447">
        <v>36</v>
      </c>
      <c r="X192" s="445">
        <v>15</v>
      </c>
      <c r="Y192" s="445">
        <v>21</v>
      </c>
      <c r="Z192" s="452">
        <v>40</v>
      </c>
      <c r="AA192" s="445">
        <v>18</v>
      </c>
      <c r="AB192" s="448">
        <v>22</v>
      </c>
    </row>
    <row r="193" spans="2:29" x14ac:dyDescent="0.25">
      <c r="B193" s="694"/>
      <c r="C193" s="694"/>
      <c r="D193" s="445">
        <v>23</v>
      </c>
      <c r="E193" s="450">
        <v>3</v>
      </c>
      <c r="F193" s="446">
        <v>1</v>
      </c>
      <c r="G193" s="449">
        <v>2</v>
      </c>
      <c r="H193" s="451">
        <v>6</v>
      </c>
      <c r="I193" s="446">
        <v>2</v>
      </c>
      <c r="J193" s="446">
        <v>4</v>
      </c>
      <c r="K193" s="450">
        <v>11</v>
      </c>
      <c r="L193" s="446">
        <v>5</v>
      </c>
      <c r="M193" s="446">
        <v>6</v>
      </c>
      <c r="N193" s="450">
        <v>13</v>
      </c>
      <c r="O193" s="446">
        <v>4</v>
      </c>
      <c r="P193" s="449">
        <v>9</v>
      </c>
      <c r="Q193" s="451">
        <v>20</v>
      </c>
      <c r="R193" s="445">
        <v>8</v>
      </c>
      <c r="S193" s="445">
        <v>12</v>
      </c>
      <c r="T193" s="452">
        <v>14</v>
      </c>
      <c r="U193" s="445">
        <v>6</v>
      </c>
      <c r="V193" s="448">
        <v>8</v>
      </c>
      <c r="W193" s="447">
        <v>20</v>
      </c>
      <c r="X193" s="445">
        <v>6</v>
      </c>
      <c r="Y193" s="445">
        <v>14</v>
      </c>
      <c r="Z193" s="452">
        <v>26</v>
      </c>
      <c r="AA193" s="445">
        <v>11</v>
      </c>
      <c r="AB193" s="448">
        <v>15</v>
      </c>
    </row>
    <row r="194" spans="2:29" x14ac:dyDescent="0.25">
      <c r="B194" s="694"/>
      <c r="C194" s="694"/>
      <c r="D194" s="445">
        <v>24</v>
      </c>
      <c r="E194" s="450">
        <v>0</v>
      </c>
      <c r="F194" s="446">
        <v>0</v>
      </c>
      <c r="G194" s="449">
        <v>0</v>
      </c>
      <c r="H194" s="451">
        <v>4</v>
      </c>
      <c r="I194" s="446">
        <v>2</v>
      </c>
      <c r="J194" s="446">
        <v>2</v>
      </c>
      <c r="K194" s="450">
        <v>8</v>
      </c>
      <c r="L194" s="446">
        <v>2</v>
      </c>
      <c r="M194" s="446">
        <v>6</v>
      </c>
      <c r="N194" s="450">
        <v>16</v>
      </c>
      <c r="O194" s="446">
        <v>10</v>
      </c>
      <c r="P194" s="449">
        <v>6</v>
      </c>
      <c r="Q194" s="451">
        <v>9</v>
      </c>
      <c r="R194" s="445">
        <v>3</v>
      </c>
      <c r="S194" s="445">
        <v>6</v>
      </c>
      <c r="T194" s="452">
        <v>16</v>
      </c>
      <c r="U194" s="445">
        <v>5</v>
      </c>
      <c r="V194" s="448">
        <v>11</v>
      </c>
      <c r="W194" s="447">
        <v>12</v>
      </c>
      <c r="X194" s="445">
        <v>5</v>
      </c>
      <c r="Y194" s="445">
        <v>7</v>
      </c>
      <c r="Z194" s="452">
        <v>15</v>
      </c>
      <c r="AA194" s="445">
        <v>2</v>
      </c>
      <c r="AB194" s="448">
        <v>13</v>
      </c>
    </row>
    <row r="195" spans="2:29" x14ac:dyDescent="0.25">
      <c r="B195" s="694"/>
      <c r="C195" s="694"/>
      <c r="D195" s="445">
        <v>25</v>
      </c>
      <c r="E195" s="450">
        <v>1</v>
      </c>
      <c r="F195" s="446">
        <v>0</v>
      </c>
      <c r="G195" s="449">
        <v>1</v>
      </c>
      <c r="H195" s="451">
        <v>1</v>
      </c>
      <c r="I195" s="446">
        <v>1</v>
      </c>
      <c r="J195" s="446">
        <v>0</v>
      </c>
      <c r="K195" s="450">
        <v>4</v>
      </c>
      <c r="L195" s="446">
        <v>2</v>
      </c>
      <c r="M195" s="446">
        <v>2</v>
      </c>
      <c r="N195" s="450">
        <v>5</v>
      </c>
      <c r="O195" s="446">
        <v>1</v>
      </c>
      <c r="P195" s="449">
        <v>4</v>
      </c>
      <c r="Q195" s="451">
        <v>12</v>
      </c>
      <c r="R195" s="445">
        <v>7</v>
      </c>
      <c r="S195" s="445">
        <v>5</v>
      </c>
      <c r="T195" s="452">
        <v>10</v>
      </c>
      <c r="U195" s="445">
        <v>3</v>
      </c>
      <c r="V195" s="448">
        <v>7</v>
      </c>
      <c r="W195" s="447">
        <v>10</v>
      </c>
      <c r="X195" s="445">
        <v>3</v>
      </c>
      <c r="Y195" s="445">
        <v>7</v>
      </c>
      <c r="Z195" s="452">
        <v>12</v>
      </c>
      <c r="AA195" s="445">
        <v>5</v>
      </c>
      <c r="AB195" s="448">
        <v>7</v>
      </c>
    </row>
    <row r="196" spans="2:29" x14ac:dyDescent="0.25">
      <c r="B196" s="694"/>
      <c r="C196" s="694"/>
      <c r="D196" s="445">
        <v>26</v>
      </c>
      <c r="E196" s="450">
        <v>1</v>
      </c>
      <c r="F196" s="446">
        <v>0</v>
      </c>
      <c r="G196" s="449">
        <v>1</v>
      </c>
      <c r="H196" s="451">
        <v>1</v>
      </c>
      <c r="I196" s="446">
        <v>0</v>
      </c>
      <c r="J196" s="446">
        <v>1</v>
      </c>
      <c r="K196" s="450">
        <v>2</v>
      </c>
      <c r="L196" s="446">
        <v>1</v>
      </c>
      <c r="M196" s="446">
        <v>1</v>
      </c>
      <c r="N196" s="450">
        <v>2</v>
      </c>
      <c r="O196" s="446">
        <v>0</v>
      </c>
      <c r="P196" s="449">
        <v>2</v>
      </c>
      <c r="Q196" s="451">
        <v>3</v>
      </c>
      <c r="R196" s="445"/>
      <c r="S196" s="445">
        <v>3</v>
      </c>
      <c r="T196" s="452">
        <v>11</v>
      </c>
      <c r="U196" s="445">
        <v>6</v>
      </c>
      <c r="V196" s="448">
        <v>5</v>
      </c>
      <c r="W196" s="447">
        <v>9</v>
      </c>
      <c r="X196" s="445">
        <v>2</v>
      </c>
      <c r="Y196" s="445">
        <v>7</v>
      </c>
      <c r="Z196" s="452">
        <v>5</v>
      </c>
      <c r="AA196" s="445">
        <v>1</v>
      </c>
      <c r="AB196" s="448">
        <v>4</v>
      </c>
    </row>
    <row r="197" spans="2:29" x14ac:dyDescent="0.25">
      <c r="B197" s="694"/>
      <c r="C197" s="694"/>
      <c r="D197" s="445">
        <v>27</v>
      </c>
      <c r="E197" s="450">
        <v>1</v>
      </c>
      <c r="F197" s="446">
        <v>1</v>
      </c>
      <c r="G197" s="449">
        <v>0</v>
      </c>
      <c r="H197" s="451">
        <v>2</v>
      </c>
      <c r="I197" s="446">
        <v>0</v>
      </c>
      <c r="J197" s="446">
        <v>2</v>
      </c>
      <c r="K197" s="450">
        <v>1</v>
      </c>
      <c r="L197" s="446">
        <v>0</v>
      </c>
      <c r="M197" s="446">
        <v>1</v>
      </c>
      <c r="N197" s="450">
        <v>2</v>
      </c>
      <c r="O197" s="446">
        <v>1</v>
      </c>
      <c r="P197" s="449">
        <v>1</v>
      </c>
      <c r="Q197" s="451">
        <v>1</v>
      </c>
      <c r="R197" s="445"/>
      <c r="S197" s="445">
        <v>1</v>
      </c>
      <c r="T197" s="452">
        <v>5</v>
      </c>
      <c r="U197" s="445">
        <v>1</v>
      </c>
      <c r="V197" s="448">
        <v>4</v>
      </c>
      <c r="W197" s="447">
        <v>9</v>
      </c>
      <c r="X197" s="445">
        <v>4</v>
      </c>
      <c r="Y197" s="445">
        <v>5</v>
      </c>
      <c r="Z197" s="452">
        <v>5</v>
      </c>
      <c r="AA197" s="445">
        <v>0</v>
      </c>
      <c r="AB197" s="448">
        <v>5</v>
      </c>
    </row>
    <row r="198" spans="2:29" x14ac:dyDescent="0.25">
      <c r="B198" s="694"/>
      <c r="C198" s="694"/>
      <c r="D198" s="445">
        <v>28</v>
      </c>
      <c r="E198" s="450">
        <v>0</v>
      </c>
      <c r="F198" s="446">
        <v>0</v>
      </c>
      <c r="G198" s="449">
        <v>0</v>
      </c>
      <c r="H198" s="451">
        <v>1</v>
      </c>
      <c r="I198" s="446">
        <v>1</v>
      </c>
      <c r="J198" s="446">
        <v>0</v>
      </c>
      <c r="K198" s="450">
        <v>2</v>
      </c>
      <c r="L198" s="446">
        <v>0</v>
      </c>
      <c r="M198" s="446">
        <v>2</v>
      </c>
      <c r="N198" s="450">
        <v>3</v>
      </c>
      <c r="O198" s="446">
        <v>0</v>
      </c>
      <c r="P198" s="449">
        <v>3</v>
      </c>
      <c r="Q198" s="451">
        <v>1</v>
      </c>
      <c r="R198" s="445">
        <v>1</v>
      </c>
      <c r="S198" s="445"/>
      <c r="T198" s="452">
        <v>2</v>
      </c>
      <c r="U198" s="445">
        <v>0</v>
      </c>
      <c r="V198" s="448">
        <v>2</v>
      </c>
      <c r="W198" s="447">
        <v>4</v>
      </c>
      <c r="X198" s="445">
        <v>1</v>
      </c>
      <c r="Y198" s="445">
        <v>3</v>
      </c>
      <c r="Z198" s="452">
        <v>7</v>
      </c>
      <c r="AA198" s="445">
        <v>3</v>
      </c>
      <c r="AB198" s="448">
        <v>4</v>
      </c>
    </row>
    <row r="199" spans="2:29" x14ac:dyDescent="0.25">
      <c r="B199" s="694"/>
      <c r="C199" s="694"/>
      <c r="D199" s="445">
        <v>29</v>
      </c>
      <c r="E199" s="450">
        <v>1</v>
      </c>
      <c r="F199" s="446">
        <v>0</v>
      </c>
      <c r="G199" s="449">
        <v>1</v>
      </c>
      <c r="H199" s="451">
        <v>0</v>
      </c>
      <c r="I199" s="446">
        <v>0</v>
      </c>
      <c r="J199" s="446">
        <v>0</v>
      </c>
      <c r="K199" s="450">
        <v>1</v>
      </c>
      <c r="L199" s="446">
        <v>1</v>
      </c>
      <c r="M199" s="446">
        <v>0</v>
      </c>
      <c r="N199" s="450">
        <v>1</v>
      </c>
      <c r="O199" s="446">
        <v>1</v>
      </c>
      <c r="P199" s="449">
        <v>0</v>
      </c>
      <c r="Q199" s="451">
        <v>2</v>
      </c>
      <c r="R199" s="445"/>
      <c r="S199" s="445">
        <v>2</v>
      </c>
      <c r="T199" s="452">
        <v>1</v>
      </c>
      <c r="U199" s="445">
        <v>1</v>
      </c>
      <c r="V199" s="448">
        <v>0</v>
      </c>
      <c r="W199" s="447">
        <v>1</v>
      </c>
      <c r="X199" s="445">
        <v>0</v>
      </c>
      <c r="Y199" s="445">
        <v>1</v>
      </c>
      <c r="Z199" s="452">
        <v>1</v>
      </c>
      <c r="AA199" s="445">
        <v>0</v>
      </c>
      <c r="AB199" s="448">
        <v>1</v>
      </c>
    </row>
    <row r="200" spans="2:29" x14ac:dyDescent="0.25">
      <c r="B200" s="694"/>
      <c r="C200" s="694"/>
      <c r="D200" s="445" t="s">
        <v>84</v>
      </c>
      <c r="E200" s="450">
        <v>4</v>
      </c>
      <c r="F200" s="446">
        <v>2</v>
      </c>
      <c r="G200" s="449">
        <v>2</v>
      </c>
      <c r="H200" s="451">
        <v>4</v>
      </c>
      <c r="I200" s="446">
        <v>2</v>
      </c>
      <c r="J200" s="446">
        <v>2</v>
      </c>
      <c r="K200" s="450">
        <v>7</v>
      </c>
      <c r="L200" s="446">
        <v>4</v>
      </c>
      <c r="M200" s="446">
        <v>3</v>
      </c>
      <c r="N200" s="450">
        <v>8</v>
      </c>
      <c r="O200" s="446">
        <v>1</v>
      </c>
      <c r="P200" s="449">
        <v>7</v>
      </c>
      <c r="Q200" s="451">
        <v>6</v>
      </c>
      <c r="R200" s="445">
        <v>1</v>
      </c>
      <c r="S200" s="445">
        <v>5</v>
      </c>
      <c r="T200" s="452">
        <v>4</v>
      </c>
      <c r="U200" s="445">
        <v>0</v>
      </c>
      <c r="V200" s="448">
        <v>4</v>
      </c>
      <c r="W200" s="447">
        <v>1</v>
      </c>
      <c r="X200" s="445">
        <v>1</v>
      </c>
      <c r="Y200" s="445">
        <v>0</v>
      </c>
      <c r="Z200" s="452">
        <v>2</v>
      </c>
      <c r="AA200" s="445">
        <v>1</v>
      </c>
      <c r="AB200" s="448">
        <v>1</v>
      </c>
    </row>
    <row r="201" spans="2:29" x14ac:dyDescent="0.25">
      <c r="B201" s="694"/>
      <c r="C201" s="694"/>
      <c r="D201" s="445" t="s">
        <v>85</v>
      </c>
      <c r="E201" s="450">
        <v>1</v>
      </c>
      <c r="F201" s="446">
        <v>0</v>
      </c>
      <c r="G201" s="449">
        <v>1</v>
      </c>
      <c r="H201" s="451">
        <v>2</v>
      </c>
      <c r="I201" s="446">
        <v>0</v>
      </c>
      <c r="J201" s="446">
        <v>2</v>
      </c>
      <c r="K201" s="450">
        <v>5</v>
      </c>
      <c r="L201" s="446">
        <v>2</v>
      </c>
      <c r="M201" s="446">
        <v>3</v>
      </c>
      <c r="N201" s="450">
        <v>7</v>
      </c>
      <c r="O201" s="446">
        <v>3</v>
      </c>
      <c r="P201" s="449">
        <v>4</v>
      </c>
      <c r="Q201" s="451">
        <v>6</v>
      </c>
      <c r="R201" s="445">
        <v>2</v>
      </c>
      <c r="S201" s="445">
        <v>4</v>
      </c>
      <c r="T201" s="452">
        <v>4</v>
      </c>
      <c r="U201" s="445">
        <v>2</v>
      </c>
      <c r="V201" s="448">
        <v>2</v>
      </c>
      <c r="W201" s="447">
        <v>5</v>
      </c>
      <c r="X201" s="445">
        <v>3</v>
      </c>
      <c r="Y201" s="445">
        <v>2</v>
      </c>
      <c r="Z201" s="452">
        <v>2</v>
      </c>
      <c r="AA201" s="445">
        <v>2</v>
      </c>
      <c r="AB201" s="448">
        <v>0</v>
      </c>
    </row>
    <row r="202" spans="2:29" x14ac:dyDescent="0.25">
      <c r="B202" s="694"/>
      <c r="C202" s="694"/>
      <c r="D202" s="461" t="s">
        <v>86</v>
      </c>
      <c r="E202" s="462">
        <v>1</v>
      </c>
      <c r="F202" s="463">
        <v>0</v>
      </c>
      <c r="G202" s="464">
        <v>1</v>
      </c>
      <c r="H202" s="465">
        <v>1</v>
      </c>
      <c r="I202" s="463">
        <v>0</v>
      </c>
      <c r="J202" s="463">
        <v>1</v>
      </c>
      <c r="K202" s="462">
        <v>2</v>
      </c>
      <c r="L202" s="463">
        <v>1</v>
      </c>
      <c r="M202" s="463">
        <v>1</v>
      </c>
      <c r="N202" s="462">
        <v>3</v>
      </c>
      <c r="O202" s="463">
        <v>1</v>
      </c>
      <c r="P202" s="464">
        <v>2</v>
      </c>
      <c r="Q202" s="465">
        <v>1</v>
      </c>
      <c r="R202" s="461"/>
      <c r="S202" s="461">
        <v>1</v>
      </c>
      <c r="T202" s="466">
        <v>3</v>
      </c>
      <c r="U202" s="461">
        <v>2</v>
      </c>
      <c r="V202" s="467">
        <v>1</v>
      </c>
      <c r="W202" s="468">
        <v>3</v>
      </c>
      <c r="X202" s="461">
        <v>2</v>
      </c>
      <c r="Y202" s="461">
        <v>1</v>
      </c>
      <c r="Z202" s="466">
        <v>2</v>
      </c>
      <c r="AA202" s="461">
        <v>2</v>
      </c>
      <c r="AB202" s="467">
        <v>0</v>
      </c>
    </row>
    <row r="203" spans="2:29" ht="15.75" thickBot="1" x14ac:dyDescent="0.3">
      <c r="B203" s="696"/>
      <c r="C203" s="696"/>
      <c r="D203" s="453" t="s">
        <v>82</v>
      </c>
      <c r="E203" s="454">
        <v>41</v>
      </c>
      <c r="F203" s="455">
        <v>16</v>
      </c>
      <c r="G203" s="456">
        <v>25</v>
      </c>
      <c r="H203" s="453">
        <v>83</v>
      </c>
      <c r="I203" s="457">
        <v>35</v>
      </c>
      <c r="J203" s="457">
        <v>48</v>
      </c>
      <c r="K203" s="454">
        <v>127</v>
      </c>
      <c r="L203" s="457">
        <v>59</v>
      </c>
      <c r="M203" s="457">
        <v>68</v>
      </c>
      <c r="N203" s="454">
        <v>168</v>
      </c>
      <c r="O203" s="458">
        <v>70</v>
      </c>
      <c r="P203" s="459">
        <v>98</v>
      </c>
      <c r="Q203" s="453">
        <v>191</v>
      </c>
      <c r="R203" s="458">
        <v>82</v>
      </c>
      <c r="S203" s="458">
        <v>109</v>
      </c>
      <c r="T203" s="454">
        <v>223</v>
      </c>
      <c r="U203" s="458">
        <v>98</v>
      </c>
      <c r="V203" s="459">
        <v>125</v>
      </c>
      <c r="W203" s="453">
        <v>240</v>
      </c>
      <c r="X203" s="458">
        <v>104</v>
      </c>
      <c r="Y203" s="458">
        <v>136</v>
      </c>
      <c r="Z203" s="454">
        <v>240</v>
      </c>
      <c r="AA203" s="458">
        <v>103</v>
      </c>
      <c r="AB203" s="459">
        <v>137</v>
      </c>
    </row>
    <row r="204" spans="2:29" x14ac:dyDescent="0.25">
      <c r="B204" s="4" t="s">
        <v>832</v>
      </c>
      <c r="D204" s="72"/>
      <c r="E204" s="470"/>
      <c r="F204" s="470"/>
      <c r="G204" s="470"/>
      <c r="H204" s="470"/>
      <c r="I204" s="470"/>
      <c r="J204" s="470"/>
      <c r="K204" s="470"/>
      <c r="L204" s="470"/>
      <c r="M204" s="470"/>
      <c r="N204" s="470"/>
      <c r="O204" s="470"/>
      <c r="P204" s="470"/>
      <c r="Q204" s="470"/>
      <c r="R204" s="470"/>
      <c r="S204" s="470"/>
      <c r="T204" s="470"/>
      <c r="U204" s="470"/>
      <c r="V204" s="471"/>
      <c r="W204" s="470"/>
      <c r="X204" s="470"/>
      <c r="Y204" s="72"/>
      <c r="Z204" s="398"/>
      <c r="AA204" s="398"/>
      <c r="AB204" s="398"/>
      <c r="AC204" s="398"/>
    </row>
    <row r="205" spans="2:29" x14ac:dyDescent="0.25">
      <c r="B205" s="4" t="s">
        <v>54</v>
      </c>
      <c r="Z205" s="3"/>
    </row>
    <row r="206" spans="2:29" x14ac:dyDescent="0.25">
      <c r="B206" s="9"/>
    </row>
    <row r="208" spans="2:29" x14ac:dyDescent="0.25">
      <c r="B208" s="17" t="s">
        <v>1170</v>
      </c>
      <c r="C208" s="17"/>
      <c r="D208" s="17"/>
      <c r="E208" s="17"/>
      <c r="F208" s="17"/>
      <c r="G208" s="17"/>
      <c r="H208" s="3"/>
    </row>
    <row r="209" spans="2:26" x14ac:dyDescent="0.25">
      <c r="B209" s="665" t="s">
        <v>87</v>
      </c>
      <c r="C209" s="665"/>
      <c r="D209" s="665"/>
      <c r="E209" s="665"/>
      <c r="F209" s="410" t="s">
        <v>4</v>
      </c>
      <c r="G209" s="410" t="s">
        <v>5</v>
      </c>
      <c r="H209" s="410" t="s">
        <v>6</v>
      </c>
      <c r="I209" s="410" t="s">
        <v>7</v>
      </c>
      <c r="J209" s="410" t="s">
        <v>8</v>
      </c>
      <c r="K209" s="410" t="s">
        <v>9</v>
      </c>
      <c r="L209" s="410" t="s">
        <v>10</v>
      </c>
      <c r="M209" s="410" t="s">
        <v>11</v>
      </c>
    </row>
    <row r="210" spans="2:26" ht="13.5" customHeight="1" thickBot="1" x14ac:dyDescent="0.3">
      <c r="B210" s="686" t="s">
        <v>12</v>
      </c>
      <c r="C210" s="686"/>
      <c r="D210" s="703" t="s">
        <v>88</v>
      </c>
      <c r="E210" s="703"/>
      <c r="F210" s="27">
        <v>34</v>
      </c>
      <c r="G210" s="27">
        <v>55</v>
      </c>
      <c r="H210" s="27">
        <v>75</v>
      </c>
      <c r="I210" s="27">
        <v>101</v>
      </c>
      <c r="J210" s="27">
        <v>105</v>
      </c>
      <c r="K210" s="27">
        <v>90</v>
      </c>
      <c r="L210" s="27">
        <v>95</v>
      </c>
      <c r="M210" s="27">
        <v>104</v>
      </c>
    </row>
    <row r="211" spans="2:26" ht="15.75" thickBot="1" x14ac:dyDescent="0.3">
      <c r="B211" s="686"/>
      <c r="C211" s="686"/>
      <c r="D211" s="702" t="s">
        <v>89</v>
      </c>
      <c r="E211" s="702"/>
      <c r="F211" s="27">
        <v>1</v>
      </c>
      <c r="G211" s="27">
        <v>4</v>
      </c>
      <c r="H211" s="27">
        <v>4</v>
      </c>
      <c r="I211" s="27">
        <v>8</v>
      </c>
      <c r="J211" s="27">
        <v>9</v>
      </c>
      <c r="K211" s="27">
        <v>3</v>
      </c>
      <c r="L211" s="27">
        <v>4</v>
      </c>
      <c r="M211" s="27">
        <v>4</v>
      </c>
    </row>
    <row r="212" spans="2:26" ht="15.75" thickBot="1" x14ac:dyDescent="0.3">
      <c r="B212" s="687"/>
      <c r="C212" s="687"/>
      <c r="D212" s="701" t="s">
        <v>90</v>
      </c>
      <c r="E212" s="701"/>
      <c r="F212" s="35">
        <v>35</v>
      </c>
      <c r="G212" s="35">
        <v>59</v>
      </c>
      <c r="H212" s="35">
        <v>79</v>
      </c>
      <c r="I212" s="35">
        <v>109</v>
      </c>
      <c r="J212" s="35">
        <f>J210+J211</f>
        <v>114</v>
      </c>
      <c r="K212" s="35">
        <f>SUM(K210:K211)</f>
        <v>93</v>
      </c>
      <c r="L212" s="35">
        <f>SUM(L210:L211)</f>
        <v>99</v>
      </c>
      <c r="M212" s="35">
        <f>SUM(M210:M211)</f>
        <v>108</v>
      </c>
    </row>
    <row r="213" spans="2:26" x14ac:dyDescent="0.25">
      <c r="C213" s="15"/>
      <c r="D213" s="15"/>
      <c r="E213" s="15"/>
      <c r="F213" s="15"/>
      <c r="G213" s="15"/>
      <c r="H213" s="15"/>
      <c r="I213" s="15"/>
      <c r="J213" s="15"/>
      <c r="K213" s="15"/>
    </row>
    <row r="214" spans="2:26" x14ac:dyDescent="0.25">
      <c r="B214" s="665" t="s">
        <v>87</v>
      </c>
      <c r="C214" s="665"/>
      <c r="D214" s="665"/>
      <c r="E214" s="665"/>
      <c r="F214" s="410" t="s">
        <v>4</v>
      </c>
      <c r="G214" s="410" t="s">
        <v>5</v>
      </c>
      <c r="H214" s="410" t="s">
        <v>6</v>
      </c>
      <c r="I214" s="410" t="s">
        <v>7</v>
      </c>
      <c r="J214" s="410" t="s">
        <v>8</v>
      </c>
      <c r="K214" s="410" t="s">
        <v>9</v>
      </c>
      <c r="L214" s="410" t="s">
        <v>10</v>
      </c>
      <c r="M214" s="410" t="s">
        <v>11</v>
      </c>
    </row>
    <row r="215" spans="2:26" ht="13.5" customHeight="1" thickBot="1" x14ac:dyDescent="0.3">
      <c r="B215" s="686" t="s">
        <v>13</v>
      </c>
      <c r="C215" s="686"/>
      <c r="D215" s="703" t="s">
        <v>88</v>
      </c>
      <c r="E215" s="703"/>
      <c r="F215" s="27">
        <v>38</v>
      </c>
      <c r="G215" s="27">
        <v>80</v>
      </c>
      <c r="H215" s="27">
        <v>121</v>
      </c>
      <c r="I215" s="27">
        <v>161</v>
      </c>
      <c r="J215" s="27">
        <v>191</v>
      </c>
      <c r="K215" s="27">
        <v>220</v>
      </c>
      <c r="L215" s="27">
        <v>221</v>
      </c>
      <c r="M215" s="27">
        <v>226</v>
      </c>
    </row>
    <row r="216" spans="2:26" ht="15.75" thickBot="1" x14ac:dyDescent="0.3">
      <c r="B216" s="686"/>
      <c r="C216" s="686"/>
      <c r="D216" s="702" t="s">
        <v>89</v>
      </c>
      <c r="E216" s="702"/>
      <c r="F216" s="27">
        <v>3</v>
      </c>
      <c r="G216" s="27">
        <v>3</v>
      </c>
      <c r="H216" s="27">
        <v>6</v>
      </c>
      <c r="I216" s="27">
        <v>7</v>
      </c>
      <c r="J216" s="27">
        <v>2</v>
      </c>
      <c r="K216" s="27">
        <v>3</v>
      </c>
      <c r="L216" s="27">
        <v>19</v>
      </c>
      <c r="M216" s="27">
        <v>14</v>
      </c>
    </row>
    <row r="217" spans="2:26" ht="15.75" thickBot="1" x14ac:dyDescent="0.3">
      <c r="B217" s="687"/>
      <c r="C217" s="687"/>
      <c r="D217" s="701" t="s">
        <v>90</v>
      </c>
      <c r="E217" s="701"/>
      <c r="F217" s="35">
        <v>41</v>
      </c>
      <c r="G217" s="35">
        <v>83</v>
      </c>
      <c r="H217" s="35">
        <v>127</v>
      </c>
      <c r="I217" s="35">
        <v>168</v>
      </c>
      <c r="J217" s="35">
        <v>193</v>
      </c>
      <c r="K217" s="35">
        <v>221</v>
      </c>
      <c r="L217" s="35">
        <v>240</v>
      </c>
      <c r="M217" s="35">
        <v>240</v>
      </c>
    </row>
    <row r="218" spans="2:26" x14ac:dyDescent="0.25">
      <c r="B218" s="4" t="s">
        <v>832</v>
      </c>
    </row>
    <row r="219" spans="2:26" ht="15.75" customHeight="1" x14ac:dyDescent="0.25">
      <c r="B219" s="4" t="s">
        <v>54</v>
      </c>
    </row>
    <row r="222" spans="2:26" x14ac:dyDescent="0.25">
      <c r="B222" s="6" t="s">
        <v>1171</v>
      </c>
      <c r="C222" s="6"/>
      <c r="D222" s="6"/>
      <c r="E222" s="6"/>
      <c r="F222" s="6"/>
      <c r="G222" s="6"/>
      <c r="H222" s="6"/>
      <c r="I222" s="6"/>
      <c r="J222" s="17"/>
      <c r="K222" s="17"/>
      <c r="L222" s="17"/>
      <c r="M222" s="17"/>
      <c r="N222" s="17"/>
      <c r="O222" s="17"/>
      <c r="P222" s="3"/>
      <c r="Q222" s="3"/>
      <c r="R222" s="3"/>
      <c r="S222" s="3"/>
      <c r="T222" s="3"/>
      <c r="U222" s="3"/>
      <c r="V222" s="3"/>
      <c r="W222" s="3"/>
      <c r="X222" s="6"/>
      <c r="Y222" s="6"/>
      <c r="Z222" s="6"/>
    </row>
    <row r="223" spans="2:26" ht="23.25" customHeight="1" x14ac:dyDescent="0.25">
      <c r="B223" s="666" t="s">
        <v>87</v>
      </c>
      <c r="C223" s="666"/>
      <c r="D223" s="666" t="s">
        <v>91</v>
      </c>
      <c r="E223" s="666"/>
      <c r="F223" s="666" t="s">
        <v>92</v>
      </c>
      <c r="G223" s="666"/>
      <c r="H223" s="667" t="s">
        <v>93</v>
      </c>
      <c r="I223" s="667"/>
      <c r="J223" s="667"/>
      <c r="K223" s="667"/>
      <c r="L223" s="667"/>
      <c r="M223" s="667"/>
      <c r="N223" s="667"/>
      <c r="O223" s="667"/>
    </row>
    <row r="224" spans="2:26" x14ac:dyDescent="0.25">
      <c r="B224" s="667"/>
      <c r="C224" s="667"/>
      <c r="D224" s="667"/>
      <c r="E224" s="667"/>
      <c r="F224" s="667"/>
      <c r="G224" s="667"/>
      <c r="H224" s="473" t="s">
        <v>4</v>
      </c>
      <c r="I224" s="473" t="s">
        <v>5</v>
      </c>
      <c r="J224" s="473" t="s">
        <v>6</v>
      </c>
      <c r="K224" s="473" t="s">
        <v>7</v>
      </c>
      <c r="L224" s="473" t="s">
        <v>8</v>
      </c>
      <c r="M224" s="473" t="s">
        <v>9</v>
      </c>
      <c r="N224" s="473" t="s">
        <v>10</v>
      </c>
      <c r="O224" s="473" t="s">
        <v>11</v>
      </c>
    </row>
    <row r="225" spans="1:15" ht="15.75" customHeight="1" thickBot="1" x14ac:dyDescent="0.3">
      <c r="A225" s="389"/>
      <c r="B225" s="698" t="s">
        <v>12</v>
      </c>
      <c r="C225" s="699"/>
      <c r="D225" s="688" t="s">
        <v>94</v>
      </c>
      <c r="E225" s="689"/>
      <c r="F225" s="688" t="s">
        <v>95</v>
      </c>
      <c r="G225" s="689"/>
      <c r="H225" s="428" t="s">
        <v>64</v>
      </c>
      <c r="I225" s="428" t="s">
        <v>64</v>
      </c>
      <c r="J225" s="428" t="s">
        <v>64</v>
      </c>
      <c r="K225" s="428">
        <f>1/109</f>
        <v>9.1743119266055051E-3</v>
      </c>
      <c r="L225" s="428">
        <f>1/114</f>
        <v>8.771929824561403E-3</v>
      </c>
      <c r="M225" s="428" t="s">
        <v>64</v>
      </c>
      <c r="N225" s="428" t="s">
        <v>64</v>
      </c>
      <c r="O225" s="428">
        <f>1/108</f>
        <v>9.2592592592592587E-3</v>
      </c>
    </row>
    <row r="226" spans="1:15" ht="15.75" thickBot="1" x14ac:dyDescent="0.3">
      <c r="A226" s="389"/>
      <c r="B226" s="694"/>
      <c r="C226" s="695"/>
      <c r="D226" s="688" t="s">
        <v>94</v>
      </c>
      <c r="E226" s="689"/>
      <c r="F226" s="688" t="s">
        <v>96</v>
      </c>
      <c r="G226" s="689"/>
      <c r="H226" s="428" t="s">
        <v>64</v>
      </c>
      <c r="I226" s="428" t="s">
        <v>64</v>
      </c>
      <c r="J226" s="428">
        <f>1/79</f>
        <v>1.2658227848101266E-2</v>
      </c>
      <c r="K226" s="428" t="s">
        <v>64</v>
      </c>
      <c r="L226" s="428" t="s">
        <v>64</v>
      </c>
      <c r="M226" s="428" t="s">
        <v>64</v>
      </c>
      <c r="N226" s="428">
        <v>1.01E-2</v>
      </c>
      <c r="O226" s="428">
        <f>1/108</f>
        <v>9.2592592592592587E-3</v>
      </c>
    </row>
    <row r="227" spans="1:15" ht="15.75" thickBot="1" x14ac:dyDescent="0.3">
      <c r="A227" s="389"/>
      <c r="B227" s="694"/>
      <c r="C227" s="695"/>
      <c r="D227" s="688" t="s">
        <v>94</v>
      </c>
      <c r="E227" s="689"/>
      <c r="F227" s="690" t="s">
        <v>97</v>
      </c>
      <c r="G227" s="691"/>
      <c r="H227" s="428" t="s">
        <v>64</v>
      </c>
      <c r="I227" s="428" t="s">
        <v>64</v>
      </c>
      <c r="J227" s="428" t="s">
        <v>64</v>
      </c>
      <c r="K227" s="428" t="s">
        <v>64</v>
      </c>
      <c r="L227" s="428">
        <f>1/114</f>
        <v>8.771929824561403E-3</v>
      </c>
      <c r="M227" s="428" t="s">
        <v>64</v>
      </c>
      <c r="N227" s="428" t="s">
        <v>64</v>
      </c>
      <c r="O227" s="428" t="s">
        <v>64</v>
      </c>
    </row>
    <row r="228" spans="1:15" ht="15.75" thickBot="1" x14ac:dyDescent="0.3">
      <c r="A228" s="389"/>
      <c r="B228" s="694"/>
      <c r="C228" s="695"/>
      <c r="D228" s="688" t="s">
        <v>94</v>
      </c>
      <c r="E228" s="689"/>
      <c r="F228" s="688" t="s">
        <v>98</v>
      </c>
      <c r="G228" s="689"/>
      <c r="H228" s="428" t="s">
        <v>64</v>
      </c>
      <c r="I228" s="428" t="s">
        <v>64</v>
      </c>
      <c r="J228" s="428" t="s">
        <v>64</v>
      </c>
      <c r="K228" s="428" t="s">
        <v>64</v>
      </c>
      <c r="L228" s="428" t="s">
        <v>64</v>
      </c>
      <c r="M228" s="428">
        <v>0.01</v>
      </c>
      <c r="N228" s="428">
        <v>1.01E-2</v>
      </c>
      <c r="O228" s="428">
        <f>1/108</f>
        <v>9.2592592592592587E-3</v>
      </c>
    </row>
    <row r="229" spans="1:15" ht="15.75" thickBot="1" x14ac:dyDescent="0.3">
      <c r="A229" s="389"/>
      <c r="B229" s="694"/>
      <c r="C229" s="695"/>
      <c r="D229" s="688" t="s">
        <v>94</v>
      </c>
      <c r="E229" s="689"/>
      <c r="F229" s="690" t="s">
        <v>99</v>
      </c>
      <c r="G229" s="691"/>
      <c r="H229" s="428" t="s">
        <v>64</v>
      </c>
      <c r="I229" s="428">
        <v>1.6899999999999998E-2</v>
      </c>
      <c r="J229" s="428" t="s">
        <v>64</v>
      </c>
      <c r="K229" s="428" t="s">
        <v>64</v>
      </c>
      <c r="L229" s="428" t="s">
        <v>64</v>
      </c>
      <c r="M229" s="428" t="s">
        <v>64</v>
      </c>
      <c r="N229" s="428" t="s">
        <v>64</v>
      </c>
      <c r="O229" s="428" t="s">
        <v>64</v>
      </c>
    </row>
    <row r="230" spans="1:15" ht="15.75" thickBot="1" x14ac:dyDescent="0.3">
      <c r="A230" s="389"/>
      <c r="B230" s="694"/>
      <c r="C230" s="695"/>
      <c r="D230" s="688" t="s">
        <v>94</v>
      </c>
      <c r="E230" s="689"/>
      <c r="F230" s="690" t="s">
        <v>100</v>
      </c>
      <c r="G230" s="691"/>
      <c r="H230" s="428" t="s">
        <v>64</v>
      </c>
      <c r="I230" s="428" t="s">
        <v>64</v>
      </c>
      <c r="J230" s="428" t="s">
        <v>64</v>
      </c>
      <c r="K230" s="428" t="s">
        <v>64</v>
      </c>
      <c r="L230" s="428" t="s">
        <v>64</v>
      </c>
      <c r="M230" s="428" t="s">
        <v>64</v>
      </c>
      <c r="N230" s="428">
        <v>1.01E-2</v>
      </c>
      <c r="O230" s="428">
        <f>1/108</f>
        <v>9.2592592592592587E-3</v>
      </c>
    </row>
    <row r="231" spans="1:15" ht="15.75" thickBot="1" x14ac:dyDescent="0.3">
      <c r="A231" s="389"/>
      <c r="B231" s="694"/>
      <c r="C231" s="695"/>
      <c r="D231" s="688" t="s">
        <v>94</v>
      </c>
      <c r="E231" s="689"/>
      <c r="F231" s="688" t="s">
        <v>101</v>
      </c>
      <c r="G231" s="689"/>
      <c r="H231" s="428" t="s">
        <v>64</v>
      </c>
      <c r="I231" s="428" t="s">
        <v>64</v>
      </c>
      <c r="J231" s="428" t="s">
        <v>64</v>
      </c>
      <c r="K231" s="428" t="s">
        <v>64</v>
      </c>
      <c r="L231" s="428">
        <f>1/114</f>
        <v>8.771929824561403E-3</v>
      </c>
      <c r="M231" s="428" t="s">
        <v>64</v>
      </c>
      <c r="N231" s="428" t="s">
        <v>64</v>
      </c>
      <c r="O231" s="428" t="s">
        <v>64</v>
      </c>
    </row>
    <row r="232" spans="1:15" ht="15.75" thickBot="1" x14ac:dyDescent="0.3">
      <c r="A232" s="389"/>
      <c r="B232" s="694"/>
      <c r="C232" s="695"/>
      <c r="D232" s="688" t="s">
        <v>94</v>
      </c>
      <c r="E232" s="689"/>
      <c r="F232" s="688" t="s">
        <v>102</v>
      </c>
      <c r="G232" s="689"/>
      <c r="H232" s="428" t="s">
        <v>64</v>
      </c>
      <c r="I232" s="428">
        <v>1.6899999999999998E-2</v>
      </c>
      <c r="J232" s="428">
        <f>1/79</f>
        <v>1.2658227848101266E-2</v>
      </c>
      <c r="K232" s="428">
        <f>1/109</f>
        <v>9.1743119266055051E-3</v>
      </c>
      <c r="L232" s="428">
        <f>1/114</f>
        <v>8.771929824561403E-3</v>
      </c>
      <c r="M232" s="428" t="s">
        <v>64</v>
      </c>
      <c r="N232" s="428" t="s">
        <v>64</v>
      </c>
      <c r="O232" s="428" t="s">
        <v>64</v>
      </c>
    </row>
    <row r="233" spans="1:15" ht="15.75" thickBot="1" x14ac:dyDescent="0.3">
      <c r="A233" s="389"/>
      <c r="B233" s="694"/>
      <c r="C233" s="695"/>
      <c r="D233" s="688" t="s">
        <v>94</v>
      </c>
      <c r="E233" s="689"/>
      <c r="F233" s="690" t="s">
        <v>103</v>
      </c>
      <c r="G233" s="691"/>
      <c r="H233" s="428" t="s">
        <v>64</v>
      </c>
      <c r="I233" s="428" t="s">
        <v>64</v>
      </c>
      <c r="J233" s="428" t="s">
        <v>64</v>
      </c>
      <c r="K233" s="428" t="s">
        <v>64</v>
      </c>
      <c r="L233" s="428">
        <f>1/114</f>
        <v>8.771929824561403E-3</v>
      </c>
      <c r="M233" s="428" t="s">
        <v>64</v>
      </c>
      <c r="N233" s="428" t="s">
        <v>64</v>
      </c>
      <c r="O233" s="428" t="s">
        <v>64</v>
      </c>
    </row>
    <row r="234" spans="1:15" ht="15.75" thickBot="1" x14ac:dyDescent="0.3">
      <c r="A234" s="389"/>
      <c r="B234" s="694"/>
      <c r="C234" s="695"/>
      <c r="D234" s="688" t="s">
        <v>104</v>
      </c>
      <c r="E234" s="689"/>
      <c r="F234" s="690" t="s">
        <v>105</v>
      </c>
      <c r="G234" s="691"/>
      <c r="H234" s="428">
        <v>2.86E-2</v>
      </c>
      <c r="I234" s="428">
        <v>3.39E-2</v>
      </c>
      <c r="J234" s="428">
        <f>1/79</f>
        <v>1.2658227848101266E-2</v>
      </c>
      <c r="K234" s="428">
        <f>1/109</f>
        <v>9.1743119266055051E-3</v>
      </c>
      <c r="L234" s="428">
        <f>1/114</f>
        <v>8.771929824561403E-3</v>
      </c>
      <c r="M234" s="428">
        <v>1.098901098901099E-2</v>
      </c>
      <c r="N234" s="428">
        <v>2.0199999999999999E-2</v>
      </c>
      <c r="O234" s="428"/>
    </row>
    <row r="235" spans="1:15" ht="15.75" thickBot="1" x14ac:dyDescent="0.3">
      <c r="A235" s="389"/>
      <c r="B235" s="694"/>
      <c r="C235" s="695"/>
      <c r="D235" s="688" t="s">
        <v>104</v>
      </c>
      <c r="E235" s="689"/>
      <c r="F235" s="690" t="s">
        <v>106</v>
      </c>
      <c r="G235" s="691"/>
      <c r="H235" s="428">
        <v>8.5699999999999998E-2</v>
      </c>
      <c r="I235" s="428">
        <v>9.7100000000000006E-2</v>
      </c>
      <c r="J235" s="428">
        <f>7/79</f>
        <v>8.8607594936708861E-2</v>
      </c>
      <c r="K235" s="428">
        <f>12/109</f>
        <v>0.11009174311926606</v>
      </c>
      <c r="L235" s="428">
        <f>15/114</f>
        <v>0.13157894736842105</v>
      </c>
      <c r="M235" s="428">
        <v>0.110879120879121</v>
      </c>
      <c r="N235" s="428">
        <v>0.1414</v>
      </c>
      <c r="O235" s="428">
        <f>19/108</f>
        <v>0.17592592592592593</v>
      </c>
    </row>
    <row r="236" spans="1:15" ht="15.75" thickBot="1" x14ac:dyDescent="0.3">
      <c r="A236" s="389"/>
      <c r="B236" s="694"/>
      <c r="C236" s="695"/>
      <c r="D236" s="688" t="s">
        <v>104</v>
      </c>
      <c r="E236" s="689"/>
      <c r="F236" s="690" t="s">
        <v>107</v>
      </c>
      <c r="G236" s="691"/>
      <c r="H236" s="428">
        <v>0.45710000000000001</v>
      </c>
      <c r="I236" s="428">
        <v>0.38179999999999997</v>
      </c>
      <c r="J236" s="428">
        <f>29/79</f>
        <v>0.36708860759493672</v>
      </c>
      <c r="K236" s="428">
        <f>34/109</f>
        <v>0.31192660550458717</v>
      </c>
      <c r="L236" s="428">
        <f>33/114</f>
        <v>0.28947368421052633</v>
      </c>
      <c r="M236" s="428">
        <v>0.2967032967032967</v>
      </c>
      <c r="N236" s="428">
        <v>0.2727</v>
      </c>
      <c r="O236" s="428">
        <f>30/108</f>
        <v>0.27777777777777779</v>
      </c>
    </row>
    <row r="237" spans="1:15" ht="15.75" thickBot="1" x14ac:dyDescent="0.3">
      <c r="A237" s="389"/>
      <c r="B237" s="694"/>
      <c r="C237" s="695"/>
      <c r="D237" s="688" t="s">
        <v>104</v>
      </c>
      <c r="E237" s="689"/>
      <c r="F237" s="690" t="s">
        <v>108</v>
      </c>
      <c r="G237" s="691"/>
      <c r="H237" s="428">
        <v>2.86E-2</v>
      </c>
      <c r="I237" s="428">
        <v>1.6899999999999998E-2</v>
      </c>
      <c r="J237" s="428">
        <f>1/79</f>
        <v>1.2658227848101266E-2</v>
      </c>
      <c r="K237" s="428">
        <f>2/109</f>
        <v>1.834862385321101E-2</v>
      </c>
      <c r="L237" s="428">
        <f>3/114</f>
        <v>2.6315789473684209E-2</v>
      </c>
      <c r="M237" s="428">
        <v>3.2967032967032968E-2</v>
      </c>
      <c r="N237" s="428">
        <v>2.0199999999999999E-2</v>
      </c>
      <c r="O237" s="428">
        <f>2/108</f>
        <v>1.8518518518518517E-2</v>
      </c>
    </row>
    <row r="238" spans="1:15" ht="15.75" thickBot="1" x14ac:dyDescent="0.3">
      <c r="A238" s="389"/>
      <c r="B238" s="694"/>
      <c r="C238" s="695"/>
      <c r="D238" s="688" t="s">
        <v>104</v>
      </c>
      <c r="E238" s="689"/>
      <c r="F238" s="690" t="s">
        <v>109</v>
      </c>
      <c r="G238" s="691"/>
      <c r="H238" s="428">
        <v>0.28570000000000001</v>
      </c>
      <c r="I238" s="428">
        <v>0.28410000000000002</v>
      </c>
      <c r="J238" s="428">
        <f>24/79</f>
        <v>0.30379746835443039</v>
      </c>
      <c r="K238" s="428">
        <f>33/109</f>
        <v>0.30275229357798167</v>
      </c>
      <c r="L238" s="428">
        <f>30/114</f>
        <v>0.26315789473684209</v>
      </c>
      <c r="M238" s="428">
        <v>0.35164835164835168</v>
      </c>
      <c r="N238" s="428">
        <v>0.31309999999999999</v>
      </c>
      <c r="O238" s="428">
        <f>26/108</f>
        <v>0.24074074074074073</v>
      </c>
    </row>
    <row r="239" spans="1:15" ht="15.75" thickBot="1" x14ac:dyDescent="0.3">
      <c r="A239" s="389"/>
      <c r="B239" s="694"/>
      <c r="C239" s="695"/>
      <c r="D239" s="688" t="s">
        <v>104</v>
      </c>
      <c r="E239" s="689"/>
      <c r="F239" s="690" t="s">
        <v>110</v>
      </c>
      <c r="G239" s="691"/>
      <c r="H239" s="428" t="s">
        <v>64</v>
      </c>
      <c r="I239" s="428">
        <v>1.6899999999999998E-2</v>
      </c>
      <c r="J239" s="428">
        <f>1/79</f>
        <v>1.2658227848101266E-2</v>
      </c>
      <c r="K239" s="428" t="s">
        <v>64</v>
      </c>
      <c r="L239" s="428" t="s">
        <v>64</v>
      </c>
      <c r="M239" s="428">
        <v>0</v>
      </c>
      <c r="N239" s="428" t="s">
        <v>64</v>
      </c>
      <c r="O239" s="428" t="s">
        <v>64</v>
      </c>
    </row>
    <row r="240" spans="1:15" ht="15.75" thickBot="1" x14ac:dyDescent="0.3">
      <c r="A240" s="389"/>
      <c r="B240" s="694"/>
      <c r="C240" s="695"/>
      <c r="D240" s="688" t="s">
        <v>104</v>
      </c>
      <c r="E240" s="689"/>
      <c r="F240" s="690" t="s">
        <v>111</v>
      </c>
      <c r="G240" s="691"/>
      <c r="H240" s="428" t="s">
        <v>64</v>
      </c>
      <c r="I240" s="428">
        <v>1.6899999999999998E-2</v>
      </c>
      <c r="J240" s="428">
        <f>1/79</f>
        <v>1.2658227848101266E-2</v>
      </c>
      <c r="K240" s="428">
        <f>1/109</f>
        <v>9.1743119266055051E-3</v>
      </c>
      <c r="L240" s="428">
        <f>2/114</f>
        <v>1.7543859649122806E-2</v>
      </c>
      <c r="M240" s="428">
        <v>1.098901098901099E-2</v>
      </c>
      <c r="N240" s="428" t="s">
        <v>64</v>
      </c>
      <c r="O240" s="428" t="s">
        <v>64</v>
      </c>
    </row>
    <row r="241" spans="1:26" ht="15.75" thickBot="1" x14ac:dyDescent="0.3">
      <c r="A241" s="389"/>
      <c r="B241" s="694"/>
      <c r="C241" s="695"/>
      <c r="D241" s="688" t="s">
        <v>104</v>
      </c>
      <c r="E241" s="689"/>
      <c r="F241" s="690" t="s">
        <v>112</v>
      </c>
      <c r="G241" s="691"/>
      <c r="H241" s="428">
        <v>2.86E-2</v>
      </c>
      <c r="I241" s="428">
        <v>6.7799999999999999E-2</v>
      </c>
      <c r="J241" s="428">
        <f>7/79</f>
        <v>8.8607594936708861E-2</v>
      </c>
      <c r="K241" s="428">
        <f>12/109</f>
        <v>0.11009174311926606</v>
      </c>
      <c r="L241" s="428">
        <f>11/114</f>
        <v>9.6491228070175433E-2</v>
      </c>
      <c r="M241" s="428">
        <v>8.7912087912087919E-2</v>
      </c>
      <c r="N241" s="428">
        <v>8.0799999999999997E-2</v>
      </c>
      <c r="O241" s="428">
        <f>7/108</f>
        <v>6.4814814814814811E-2</v>
      </c>
    </row>
    <row r="242" spans="1:26" ht="15.75" thickBot="1" x14ac:dyDescent="0.3">
      <c r="A242" s="389"/>
      <c r="B242" s="694"/>
      <c r="C242" s="695"/>
      <c r="D242" s="688" t="s">
        <v>113</v>
      </c>
      <c r="E242" s="689"/>
      <c r="F242" s="688" t="s">
        <v>114</v>
      </c>
      <c r="G242" s="689"/>
      <c r="H242" s="428" t="s">
        <v>64</v>
      </c>
      <c r="I242" s="428" t="s">
        <v>64</v>
      </c>
      <c r="J242" s="428" t="s">
        <v>64</v>
      </c>
      <c r="K242" s="428">
        <f>1/109</f>
        <v>9.1743119266055051E-3</v>
      </c>
      <c r="L242" s="428">
        <f>1/114</f>
        <v>8.771929824561403E-3</v>
      </c>
      <c r="M242" s="428">
        <v>0</v>
      </c>
      <c r="N242" s="428" t="s">
        <v>64</v>
      </c>
      <c r="O242" s="428" t="s">
        <v>64</v>
      </c>
    </row>
    <row r="243" spans="1:26" ht="15.75" thickBot="1" x14ac:dyDescent="0.3">
      <c r="A243" s="389"/>
      <c r="B243" s="694"/>
      <c r="C243" s="695"/>
      <c r="D243" s="688" t="s">
        <v>113</v>
      </c>
      <c r="E243" s="689"/>
      <c r="F243" s="688" t="s">
        <v>115</v>
      </c>
      <c r="G243" s="689"/>
      <c r="H243" s="428" t="s">
        <v>64</v>
      </c>
      <c r="I243" s="428" t="s">
        <v>64</v>
      </c>
      <c r="J243" s="428" t="s">
        <v>64</v>
      </c>
      <c r="K243" s="428">
        <f>1/109</f>
        <v>9.1743119266055051E-3</v>
      </c>
      <c r="L243" s="428">
        <f>1/114</f>
        <v>8.771929824561403E-3</v>
      </c>
      <c r="M243" s="428">
        <v>1.098901098901099E-2</v>
      </c>
      <c r="N243" s="428">
        <v>1.01E-2</v>
      </c>
      <c r="O243" s="428">
        <f>1/108</f>
        <v>9.2592592592592587E-3</v>
      </c>
    </row>
    <row r="244" spans="1:26" ht="15.75" thickBot="1" x14ac:dyDescent="0.3">
      <c r="A244" s="389"/>
      <c r="B244" s="694"/>
      <c r="C244" s="695"/>
      <c r="D244" s="688" t="s">
        <v>113</v>
      </c>
      <c r="E244" s="689"/>
      <c r="F244" s="688" t="s">
        <v>116</v>
      </c>
      <c r="G244" s="689"/>
      <c r="H244" s="428" t="s">
        <v>64</v>
      </c>
      <c r="I244" s="428" t="s">
        <v>64</v>
      </c>
      <c r="J244" s="428" t="s">
        <v>64</v>
      </c>
      <c r="K244" s="428">
        <f>3/109</f>
        <v>2.7522935779816515E-2</v>
      </c>
      <c r="L244" s="428">
        <f>3/114</f>
        <v>2.6315789473684209E-2</v>
      </c>
      <c r="M244" s="428">
        <v>2.197802197802198E-2</v>
      </c>
      <c r="N244" s="428">
        <v>1.01E-2</v>
      </c>
      <c r="O244" s="428">
        <f>1/108</f>
        <v>9.2592592592592587E-3</v>
      </c>
    </row>
    <row r="245" spans="1:26" ht="15.75" thickBot="1" x14ac:dyDescent="0.3">
      <c r="A245" s="389"/>
      <c r="B245" s="694"/>
      <c r="C245" s="695"/>
      <c r="D245" s="688" t="s">
        <v>117</v>
      </c>
      <c r="E245" s="689"/>
      <c r="F245" s="688" t="s">
        <v>118</v>
      </c>
      <c r="G245" s="689"/>
      <c r="H245" s="428" t="s">
        <v>64</v>
      </c>
      <c r="I245" s="428" t="s">
        <v>64</v>
      </c>
      <c r="J245" s="428">
        <f>1/79</f>
        <v>1.2658227848101266E-2</v>
      </c>
      <c r="K245" s="428" t="s">
        <v>64</v>
      </c>
      <c r="L245" s="428" t="s">
        <v>64</v>
      </c>
      <c r="M245" s="428">
        <v>0</v>
      </c>
      <c r="N245" s="428">
        <v>1.01E-2</v>
      </c>
      <c r="O245" s="428">
        <f>4/108</f>
        <v>3.7037037037037035E-2</v>
      </c>
    </row>
    <row r="246" spans="1:26" ht="15.75" thickBot="1" x14ac:dyDescent="0.3">
      <c r="A246" s="389"/>
      <c r="B246" s="694"/>
      <c r="C246" s="695"/>
      <c r="D246" s="688" t="s">
        <v>117</v>
      </c>
      <c r="E246" s="689"/>
      <c r="F246" s="688" t="s">
        <v>119</v>
      </c>
      <c r="G246" s="689"/>
      <c r="H246" s="428" t="s">
        <v>64</v>
      </c>
      <c r="I246" s="428" t="s">
        <v>64</v>
      </c>
      <c r="J246" s="428" t="s">
        <v>64</v>
      </c>
      <c r="K246" s="428" t="s">
        <v>64</v>
      </c>
      <c r="L246" s="428" t="s">
        <v>64</v>
      </c>
      <c r="M246" s="428" t="s">
        <v>64</v>
      </c>
      <c r="N246" s="428" t="s">
        <v>64</v>
      </c>
      <c r="O246" s="428">
        <f>1/108</f>
        <v>9.2592592592592587E-3</v>
      </c>
    </row>
    <row r="247" spans="1:26" ht="15.75" thickBot="1" x14ac:dyDescent="0.3">
      <c r="A247" s="389"/>
      <c r="B247" s="694"/>
      <c r="C247" s="695"/>
      <c r="D247" s="688" t="s">
        <v>120</v>
      </c>
      <c r="E247" s="689"/>
      <c r="F247" s="690" t="s">
        <v>121</v>
      </c>
      <c r="G247" s="691"/>
      <c r="H247" s="428">
        <v>8.5699999999999998E-2</v>
      </c>
      <c r="I247" s="428">
        <v>3.39E-2</v>
      </c>
      <c r="J247" s="428">
        <f>1/79</f>
        <v>1.2658227848101266E-2</v>
      </c>
      <c r="K247" s="428">
        <f>3/109</f>
        <v>2.7522935779816515E-2</v>
      </c>
      <c r="L247" s="428">
        <f>4/114</f>
        <v>3.5087719298245612E-2</v>
      </c>
      <c r="M247" s="428">
        <v>2.197802197802198E-2</v>
      </c>
      <c r="N247" s="428" t="s">
        <v>64</v>
      </c>
      <c r="O247" s="428">
        <f>2/108</f>
        <v>1.8518518518518517E-2</v>
      </c>
    </row>
    <row r="248" spans="1:26" ht="15.75" thickBot="1" x14ac:dyDescent="0.3">
      <c r="A248" s="389"/>
      <c r="B248" s="694"/>
      <c r="C248" s="695"/>
      <c r="D248" s="688" t="s">
        <v>120</v>
      </c>
      <c r="E248" s="689"/>
      <c r="F248" s="690" t="s">
        <v>122</v>
      </c>
      <c r="G248" s="691"/>
      <c r="H248" s="428" t="s">
        <v>64</v>
      </c>
      <c r="I248" s="428">
        <v>1.6899999999999998E-2</v>
      </c>
      <c r="J248" s="428">
        <f>2/79</f>
        <v>2.5316455696202531E-2</v>
      </c>
      <c r="K248" s="428">
        <f>2/109</f>
        <v>1.834862385321101E-2</v>
      </c>
      <c r="L248" s="428">
        <f>2/114</f>
        <v>1.7543859649122806E-2</v>
      </c>
      <c r="M248" s="428">
        <v>0</v>
      </c>
      <c r="N248" s="428">
        <v>3.0300000000000001E-2</v>
      </c>
      <c r="O248" s="428" t="s">
        <v>64</v>
      </c>
    </row>
    <row r="249" spans="1:26" ht="15.75" thickBot="1" x14ac:dyDescent="0.3">
      <c r="A249" s="389"/>
      <c r="B249" s="694"/>
      <c r="C249" s="695"/>
      <c r="D249" s="688" t="s">
        <v>123</v>
      </c>
      <c r="E249" s="689"/>
      <c r="F249" s="688" t="s">
        <v>64</v>
      </c>
      <c r="G249" s="689"/>
      <c r="H249" s="428" t="s">
        <v>64</v>
      </c>
      <c r="I249" s="428" t="s">
        <v>64</v>
      </c>
      <c r="J249" s="428">
        <f>1/79</f>
        <v>1.2658227848101266E-2</v>
      </c>
      <c r="K249" s="428">
        <f>1/109</f>
        <v>9.1743119266055051E-3</v>
      </c>
      <c r="L249" s="428">
        <f>1/114</f>
        <v>8.771929824561403E-3</v>
      </c>
      <c r="M249" s="428">
        <v>0</v>
      </c>
      <c r="N249" s="428" t="s">
        <v>64</v>
      </c>
      <c r="O249" s="428" t="s">
        <v>64</v>
      </c>
    </row>
    <row r="250" spans="1:26" ht="15.75" thickBot="1" x14ac:dyDescent="0.3">
      <c r="A250" s="389"/>
      <c r="B250" s="694"/>
      <c r="C250" s="695"/>
      <c r="D250" s="688" t="s">
        <v>124</v>
      </c>
      <c r="E250" s="689"/>
      <c r="F250" s="688" t="s">
        <v>125</v>
      </c>
      <c r="G250" s="689"/>
      <c r="H250" s="428" t="s">
        <v>64</v>
      </c>
      <c r="I250" s="428" t="s">
        <v>64</v>
      </c>
      <c r="J250" s="428" t="s">
        <v>64</v>
      </c>
      <c r="K250" s="428" t="s">
        <v>64</v>
      </c>
      <c r="L250" s="428" t="s">
        <v>64</v>
      </c>
      <c r="M250" s="428" t="s">
        <v>64</v>
      </c>
      <c r="N250" s="428">
        <v>1.01E-2</v>
      </c>
      <c r="O250" s="428">
        <f>1/108</f>
        <v>9.2592592592592587E-3</v>
      </c>
    </row>
    <row r="251" spans="1:26" ht="12.75" customHeight="1" thickBot="1" x14ac:dyDescent="0.3">
      <c r="A251" s="389"/>
      <c r="B251" s="694"/>
      <c r="C251" s="695"/>
      <c r="D251" s="688" t="s">
        <v>126</v>
      </c>
      <c r="E251" s="689"/>
      <c r="F251" s="688" t="s">
        <v>64</v>
      </c>
      <c r="G251" s="689"/>
      <c r="H251" s="428" t="s">
        <v>64</v>
      </c>
      <c r="I251" s="428" t="s">
        <v>64</v>
      </c>
      <c r="J251" s="428">
        <f>1/79</f>
        <v>1.2658227848101266E-2</v>
      </c>
      <c r="K251" s="428">
        <f>1/109</f>
        <v>9.1743119266055051E-3</v>
      </c>
      <c r="L251" s="428">
        <f>1/114</f>
        <v>8.771929824561403E-3</v>
      </c>
      <c r="M251" s="428">
        <v>1.098901098901099E-2</v>
      </c>
      <c r="N251" s="428">
        <v>1.01E-2</v>
      </c>
      <c r="O251" s="428">
        <f>1/108</f>
        <v>9.2592592592592587E-3</v>
      </c>
    </row>
    <row r="252" spans="1:26" ht="15.75" thickBot="1" x14ac:dyDescent="0.3">
      <c r="A252" s="389"/>
      <c r="B252" s="694"/>
      <c r="C252" s="695"/>
      <c r="D252" s="688" t="s">
        <v>127</v>
      </c>
      <c r="E252" s="689"/>
      <c r="F252" s="688" t="s">
        <v>64</v>
      </c>
      <c r="G252" s="689"/>
      <c r="H252" s="428" t="s">
        <v>64</v>
      </c>
      <c r="I252" s="428" t="s">
        <v>64</v>
      </c>
      <c r="J252" s="428" t="s">
        <v>64</v>
      </c>
      <c r="K252" s="428" t="s">
        <v>64</v>
      </c>
      <c r="L252" s="428">
        <f>1/114</f>
        <v>8.771929824561403E-3</v>
      </c>
      <c r="M252" s="428">
        <v>0</v>
      </c>
      <c r="N252" s="428" t="s">
        <v>64</v>
      </c>
      <c r="O252" s="428" t="s">
        <v>64</v>
      </c>
    </row>
    <row r="253" spans="1:26" ht="15" customHeight="1" thickBot="1" x14ac:dyDescent="0.3">
      <c r="A253" s="389"/>
      <c r="B253" s="694"/>
      <c r="C253" s="695"/>
      <c r="D253" s="688" t="s">
        <v>128</v>
      </c>
      <c r="E253" s="689"/>
      <c r="F253" s="688" t="s">
        <v>64</v>
      </c>
      <c r="G253" s="689"/>
      <c r="H253" s="428" t="s">
        <v>64</v>
      </c>
      <c r="I253" s="428" t="s">
        <v>64</v>
      </c>
      <c r="J253" s="428" t="s">
        <v>64</v>
      </c>
      <c r="K253" s="428" t="s">
        <v>64</v>
      </c>
      <c r="L253" s="428" t="s">
        <v>64</v>
      </c>
      <c r="M253" s="428">
        <v>1.098901098901099E-2</v>
      </c>
      <c r="N253" s="428">
        <v>1.01E-2</v>
      </c>
      <c r="O253" s="428">
        <f>2/108</f>
        <v>1.8518518518518517E-2</v>
      </c>
    </row>
    <row r="254" spans="1:26" ht="15.75" thickBot="1" x14ac:dyDescent="0.3">
      <c r="A254" s="389"/>
      <c r="B254" s="696"/>
      <c r="C254" s="697"/>
      <c r="D254" s="692" t="s">
        <v>129</v>
      </c>
      <c r="E254" s="693"/>
      <c r="F254" s="692" t="s">
        <v>64</v>
      </c>
      <c r="G254" s="693"/>
      <c r="H254" s="425" t="s">
        <v>64</v>
      </c>
      <c r="I254" s="425" t="s">
        <v>64</v>
      </c>
      <c r="J254" s="425" t="s">
        <v>64</v>
      </c>
      <c r="K254" s="425" t="s">
        <v>64</v>
      </c>
      <c r="L254" s="425" t="s">
        <v>64</v>
      </c>
      <c r="M254" s="425">
        <v>1.098901098901099E-2</v>
      </c>
      <c r="N254" s="425">
        <v>3.0300000000000001E-2</v>
      </c>
      <c r="O254" s="425">
        <f>7/108</f>
        <v>6.4814814814814811E-2</v>
      </c>
    </row>
    <row r="256" spans="1:26" ht="23.25" customHeight="1" x14ac:dyDescent="0.25">
      <c r="B256" s="666" t="s">
        <v>87</v>
      </c>
      <c r="C256" s="666"/>
      <c r="D256" s="666" t="s">
        <v>91</v>
      </c>
      <c r="E256" s="666"/>
      <c r="F256" s="666" t="s">
        <v>92</v>
      </c>
      <c r="G256" s="666"/>
      <c r="H256" s="667" t="s">
        <v>93</v>
      </c>
      <c r="I256" s="667"/>
      <c r="J256" s="667"/>
      <c r="K256" s="667"/>
      <c r="L256" s="667"/>
      <c r="M256" s="667"/>
      <c r="N256" s="667"/>
      <c r="O256" s="667"/>
      <c r="W256" s="3"/>
      <c r="X256" s="3"/>
      <c r="Y256" s="3"/>
      <c r="Z256" s="3"/>
    </row>
    <row r="257" spans="1:26" x14ac:dyDescent="0.25">
      <c r="A257" s="389"/>
      <c r="B257" s="667"/>
      <c r="C257" s="667"/>
      <c r="D257" s="667"/>
      <c r="E257" s="667"/>
      <c r="F257" s="667"/>
      <c r="G257" s="667"/>
      <c r="H257" s="473" t="s">
        <v>4</v>
      </c>
      <c r="I257" s="473" t="s">
        <v>5</v>
      </c>
      <c r="J257" s="473" t="s">
        <v>6</v>
      </c>
      <c r="K257" s="473" t="s">
        <v>7</v>
      </c>
      <c r="L257" s="473" t="s">
        <v>8</v>
      </c>
      <c r="M257" s="473" t="s">
        <v>9</v>
      </c>
      <c r="N257" s="473" t="s">
        <v>10</v>
      </c>
      <c r="O257" s="473" t="s">
        <v>11</v>
      </c>
      <c r="W257" s="3"/>
      <c r="X257" s="3"/>
      <c r="Y257" s="3"/>
      <c r="Z257" s="3"/>
    </row>
    <row r="258" spans="1:26" ht="15.75" customHeight="1" thickBot="1" x14ac:dyDescent="0.3">
      <c r="A258" s="389"/>
      <c r="B258" s="694" t="s">
        <v>13</v>
      </c>
      <c r="C258" s="695"/>
      <c r="D258" s="688" t="s">
        <v>94</v>
      </c>
      <c r="E258" s="689"/>
      <c r="F258" s="688" t="s">
        <v>130</v>
      </c>
      <c r="G258" s="689"/>
      <c r="H258" s="428" t="s">
        <v>64</v>
      </c>
      <c r="I258" s="428" t="s">
        <v>64</v>
      </c>
      <c r="J258" s="428" t="s">
        <v>64</v>
      </c>
      <c r="K258" s="428" t="s">
        <v>64</v>
      </c>
      <c r="L258" s="428" t="s">
        <v>64</v>
      </c>
      <c r="M258" s="428" t="s">
        <v>64</v>
      </c>
      <c r="N258" s="428" t="s">
        <v>64</v>
      </c>
      <c r="O258" s="428">
        <v>4.1666666666666666E-3</v>
      </c>
      <c r="Z258" s="3"/>
    </row>
    <row r="259" spans="1:26" ht="15.75" thickBot="1" x14ac:dyDescent="0.3">
      <c r="A259" s="389"/>
      <c r="B259" s="694"/>
      <c r="C259" s="695"/>
      <c r="D259" s="688" t="s">
        <v>94</v>
      </c>
      <c r="E259" s="689"/>
      <c r="F259" s="688" t="s">
        <v>96</v>
      </c>
      <c r="G259" s="689"/>
      <c r="H259" s="428" t="s">
        <v>64</v>
      </c>
      <c r="I259" s="428" t="s">
        <v>64</v>
      </c>
      <c r="J259" s="428" t="s">
        <v>64</v>
      </c>
      <c r="K259" s="428" t="s">
        <v>64</v>
      </c>
      <c r="L259" s="428" t="s">
        <v>64</v>
      </c>
      <c r="M259" s="428" t="s">
        <v>64</v>
      </c>
      <c r="N259" s="428" t="s">
        <v>64</v>
      </c>
      <c r="O259" s="428" t="s">
        <v>64</v>
      </c>
      <c r="Z259" s="3"/>
    </row>
    <row r="260" spans="1:26" ht="15.75" thickBot="1" x14ac:dyDescent="0.3">
      <c r="A260" s="389"/>
      <c r="B260" s="694"/>
      <c r="C260" s="695"/>
      <c r="D260" s="688" t="s">
        <v>94</v>
      </c>
      <c r="E260" s="689"/>
      <c r="F260" s="690" t="s">
        <v>131</v>
      </c>
      <c r="G260" s="691"/>
      <c r="H260" s="428" t="s">
        <v>64</v>
      </c>
      <c r="I260" s="428" t="s">
        <v>64</v>
      </c>
      <c r="J260" s="428" t="s">
        <v>64</v>
      </c>
      <c r="K260" s="428" t="s">
        <v>64</v>
      </c>
      <c r="L260" s="428" t="s">
        <v>64</v>
      </c>
      <c r="M260" s="428" t="s">
        <v>64</v>
      </c>
      <c r="N260" s="428" t="s">
        <v>64</v>
      </c>
      <c r="O260" s="428" t="s">
        <v>64</v>
      </c>
      <c r="Z260" s="3"/>
    </row>
    <row r="261" spans="1:26" ht="15.75" thickBot="1" x14ac:dyDescent="0.3">
      <c r="A261" s="389"/>
      <c r="B261" s="694"/>
      <c r="C261" s="695"/>
      <c r="D261" s="688" t="s">
        <v>94</v>
      </c>
      <c r="E261" s="689"/>
      <c r="F261" s="688" t="s">
        <v>132</v>
      </c>
      <c r="G261" s="689"/>
      <c r="H261" s="428" t="s">
        <v>64</v>
      </c>
      <c r="I261" s="428" t="s">
        <v>64</v>
      </c>
      <c r="J261" s="428">
        <v>7.9000000000000008E-3</v>
      </c>
      <c r="K261" s="428">
        <f>1/168</f>
        <v>5.9523809523809521E-3</v>
      </c>
      <c r="L261" s="428" t="s">
        <v>64</v>
      </c>
      <c r="M261" s="428" t="s">
        <v>64</v>
      </c>
      <c r="N261" s="428">
        <v>4.1000000000000003E-3</v>
      </c>
      <c r="O261" s="428">
        <v>4.1666666666666666E-3</v>
      </c>
      <c r="Z261" s="3"/>
    </row>
    <row r="262" spans="1:26" ht="15.75" thickBot="1" x14ac:dyDescent="0.3">
      <c r="A262" s="389"/>
      <c r="B262" s="694"/>
      <c r="C262" s="695"/>
      <c r="D262" s="688" t="s">
        <v>94</v>
      </c>
      <c r="E262" s="689"/>
      <c r="F262" s="690" t="s">
        <v>99</v>
      </c>
      <c r="G262" s="691"/>
      <c r="H262" s="428" t="s">
        <v>64</v>
      </c>
      <c r="I262" s="428" t="s">
        <v>64</v>
      </c>
      <c r="J262" s="428" t="s">
        <v>64</v>
      </c>
      <c r="K262" s="428" t="s">
        <v>64</v>
      </c>
      <c r="L262" s="428" t="s">
        <v>64</v>
      </c>
      <c r="M262" s="428" t="s">
        <v>64</v>
      </c>
      <c r="N262" s="428" t="s">
        <v>64</v>
      </c>
      <c r="O262" s="428" t="s">
        <v>64</v>
      </c>
      <c r="Z262" s="3"/>
    </row>
    <row r="263" spans="1:26" ht="15.75" thickBot="1" x14ac:dyDescent="0.3">
      <c r="A263" s="389"/>
      <c r="B263" s="694"/>
      <c r="C263" s="695"/>
      <c r="D263" s="688" t="s">
        <v>94</v>
      </c>
      <c r="E263" s="689"/>
      <c r="F263" s="690" t="s">
        <v>133</v>
      </c>
      <c r="G263" s="691"/>
      <c r="H263" s="428" t="s">
        <v>64</v>
      </c>
      <c r="I263" s="428" t="s">
        <v>64</v>
      </c>
      <c r="J263" s="428">
        <v>7.9000000000000008E-3</v>
      </c>
      <c r="K263" s="428" t="s">
        <v>64</v>
      </c>
      <c r="L263" s="428" t="s">
        <v>64</v>
      </c>
      <c r="M263" s="428" t="s">
        <v>64</v>
      </c>
      <c r="N263" s="428" t="s">
        <v>64</v>
      </c>
      <c r="O263" s="428" t="s">
        <v>64</v>
      </c>
      <c r="Z263" s="3"/>
    </row>
    <row r="264" spans="1:26" ht="15.75" thickBot="1" x14ac:dyDescent="0.3">
      <c r="A264" s="389"/>
      <c r="B264" s="694"/>
      <c r="C264" s="695"/>
      <c r="D264" s="688" t="s">
        <v>94</v>
      </c>
      <c r="E264" s="689"/>
      <c r="F264" s="688" t="s">
        <v>97</v>
      </c>
      <c r="G264" s="689"/>
      <c r="H264" s="428" t="s">
        <v>64</v>
      </c>
      <c r="I264" s="428" t="s">
        <v>64</v>
      </c>
      <c r="J264" s="428" t="s">
        <v>64</v>
      </c>
      <c r="K264" s="428" t="s">
        <v>64</v>
      </c>
      <c r="L264" s="428" t="s">
        <v>64</v>
      </c>
      <c r="M264" s="428" t="s">
        <v>64</v>
      </c>
      <c r="N264" s="428" t="s">
        <v>64</v>
      </c>
      <c r="O264" s="428" t="s">
        <v>64</v>
      </c>
      <c r="Z264" s="3"/>
    </row>
    <row r="265" spans="1:26" ht="15.75" thickBot="1" x14ac:dyDescent="0.3">
      <c r="A265" s="389"/>
      <c r="B265" s="694"/>
      <c r="C265" s="695"/>
      <c r="D265" s="688" t="s">
        <v>104</v>
      </c>
      <c r="E265" s="689"/>
      <c r="F265" s="688" t="s">
        <v>105</v>
      </c>
      <c r="G265" s="689"/>
      <c r="H265" s="428" t="s">
        <v>64</v>
      </c>
      <c r="I265" s="428">
        <v>2.41E-2</v>
      </c>
      <c r="J265" s="428">
        <v>3.15E-2</v>
      </c>
      <c r="K265" s="428">
        <f>3/168</f>
        <v>1.7857142857142856E-2</v>
      </c>
      <c r="L265" s="428">
        <v>5.0000000000000001E-3</v>
      </c>
      <c r="M265" s="428">
        <v>1.3574660633484163E-2</v>
      </c>
      <c r="N265" s="428">
        <v>1.2500000000000001E-2</v>
      </c>
      <c r="O265" s="428">
        <v>4.1666666666666666E-3</v>
      </c>
      <c r="Z265" s="3"/>
    </row>
    <row r="266" spans="1:26" ht="15.75" thickBot="1" x14ac:dyDescent="0.3">
      <c r="A266" s="389"/>
      <c r="B266" s="694"/>
      <c r="C266" s="695"/>
      <c r="D266" s="688" t="s">
        <v>104</v>
      </c>
      <c r="E266" s="689"/>
      <c r="F266" s="690" t="s">
        <v>106</v>
      </c>
      <c r="G266" s="691"/>
      <c r="H266" s="428">
        <v>9.7500000000000003E-2</v>
      </c>
      <c r="I266" s="428">
        <v>8.43E-2</v>
      </c>
      <c r="J266" s="428">
        <v>8.6599999999999996E-2</v>
      </c>
      <c r="K266" s="428">
        <f>13/168</f>
        <v>7.7380952380952384E-2</v>
      </c>
      <c r="L266" s="428">
        <v>6.7100000000000007E-2</v>
      </c>
      <c r="M266" s="428">
        <v>5.4298642533936653E-2</v>
      </c>
      <c r="N266" s="428">
        <v>4.1666666666666664E-2</v>
      </c>
      <c r="O266" s="428">
        <v>3.7499999999999999E-2</v>
      </c>
      <c r="Z266" s="3"/>
    </row>
    <row r="267" spans="1:26" ht="15.75" thickBot="1" x14ac:dyDescent="0.3">
      <c r="A267" s="389"/>
      <c r="B267" s="694"/>
      <c r="C267" s="695"/>
      <c r="D267" s="688" t="s">
        <v>104</v>
      </c>
      <c r="E267" s="689"/>
      <c r="F267" s="690" t="s">
        <v>107</v>
      </c>
      <c r="G267" s="691"/>
      <c r="H267" s="428">
        <v>0.26829999999999998</v>
      </c>
      <c r="I267" s="428">
        <v>0.2049</v>
      </c>
      <c r="J267" s="428">
        <v>0.18110000000000001</v>
      </c>
      <c r="K267" s="428">
        <f>32/168</f>
        <v>0.19047619047619047</v>
      </c>
      <c r="L267" s="428">
        <v>0.2006</v>
      </c>
      <c r="M267" s="428">
        <v>0.12669683257918551</v>
      </c>
      <c r="N267" s="428">
        <v>9.1700000000000004E-2</v>
      </c>
      <c r="O267" s="428">
        <v>6.6666666666666666E-2</v>
      </c>
      <c r="Z267" s="3"/>
    </row>
    <row r="268" spans="1:26" ht="15.75" thickBot="1" x14ac:dyDescent="0.3">
      <c r="A268" s="389"/>
      <c r="B268" s="694"/>
      <c r="C268" s="695"/>
      <c r="D268" s="688" t="s">
        <v>104</v>
      </c>
      <c r="E268" s="689"/>
      <c r="F268" s="690" t="s">
        <v>134</v>
      </c>
      <c r="G268" s="691"/>
      <c r="H268" s="428" t="s">
        <v>64</v>
      </c>
      <c r="I268" s="428" t="s">
        <v>64</v>
      </c>
      <c r="J268" s="428" t="s">
        <v>64</v>
      </c>
      <c r="K268" s="428" t="s">
        <v>64</v>
      </c>
      <c r="L268" s="428" t="s">
        <v>64</v>
      </c>
      <c r="M268" s="428">
        <v>4.5248868778280547E-3</v>
      </c>
      <c r="N268" s="428" t="s">
        <v>64</v>
      </c>
      <c r="O268" s="428" t="s">
        <v>64</v>
      </c>
      <c r="Z268" s="3"/>
    </row>
    <row r="269" spans="1:26" ht="15.75" thickBot="1" x14ac:dyDescent="0.3">
      <c r="A269" s="389"/>
      <c r="B269" s="694"/>
      <c r="C269" s="695"/>
      <c r="D269" s="688" t="s">
        <v>104</v>
      </c>
      <c r="E269" s="689"/>
      <c r="F269" s="690" t="s">
        <v>109</v>
      </c>
      <c r="G269" s="691"/>
      <c r="H269" s="428">
        <v>7.3200000000000001E-2</v>
      </c>
      <c r="I269" s="428">
        <v>6.0299999999999999E-2</v>
      </c>
      <c r="J269" s="428">
        <v>7.0900000000000005E-2</v>
      </c>
      <c r="K269" s="428">
        <f>9/168</f>
        <v>5.3571428571428568E-2</v>
      </c>
      <c r="L269" s="428">
        <v>5.2400000000000002E-2</v>
      </c>
      <c r="M269" s="428">
        <v>2.2624434389140271E-2</v>
      </c>
      <c r="N269" s="428">
        <v>6.25E-2</v>
      </c>
      <c r="O269" s="428">
        <v>0.05</v>
      </c>
      <c r="Z269" s="3"/>
    </row>
    <row r="270" spans="1:26" ht="15.75" thickBot="1" x14ac:dyDescent="0.3">
      <c r="A270" s="389"/>
      <c r="B270" s="694"/>
      <c r="C270" s="695"/>
      <c r="D270" s="688" t="s">
        <v>104</v>
      </c>
      <c r="E270" s="689"/>
      <c r="F270" s="690" t="s">
        <v>112</v>
      </c>
      <c r="G270" s="691"/>
      <c r="H270" s="428" t="s">
        <v>64</v>
      </c>
      <c r="I270" s="428">
        <v>7.2400000000000006E-2</v>
      </c>
      <c r="J270" s="428">
        <v>7.8700000000000006E-2</v>
      </c>
      <c r="K270" s="428">
        <f>11/168</f>
        <v>6.5476190476190479E-2</v>
      </c>
      <c r="L270" s="428">
        <v>6.4000000000000001E-2</v>
      </c>
      <c r="M270" s="428">
        <v>8.5972850678733032E-2</v>
      </c>
      <c r="N270" s="428">
        <v>8.3333333333333329E-2</v>
      </c>
      <c r="O270" s="428">
        <v>6.25E-2</v>
      </c>
      <c r="Z270" s="3"/>
    </row>
    <row r="271" spans="1:26" ht="15.75" thickBot="1" x14ac:dyDescent="0.3">
      <c r="A271" s="389"/>
      <c r="B271" s="694"/>
      <c r="C271" s="695"/>
      <c r="D271" s="688" t="s">
        <v>104</v>
      </c>
      <c r="E271" s="689"/>
      <c r="F271" s="690" t="s">
        <v>135</v>
      </c>
      <c r="G271" s="691"/>
      <c r="H271" s="428" t="s">
        <v>64</v>
      </c>
      <c r="I271" s="428" t="s">
        <v>64</v>
      </c>
      <c r="J271" s="428" t="s">
        <v>64</v>
      </c>
      <c r="K271" s="428" t="s">
        <v>64</v>
      </c>
      <c r="L271" s="428" t="s">
        <v>64</v>
      </c>
      <c r="M271" s="428" t="s">
        <v>64</v>
      </c>
      <c r="N271" s="428">
        <v>4.1666666666666666E-3</v>
      </c>
      <c r="O271" s="428">
        <v>4.1666666666666666E-3</v>
      </c>
      <c r="Z271" s="3"/>
    </row>
    <row r="272" spans="1:26" ht="15.75" thickBot="1" x14ac:dyDescent="0.3">
      <c r="A272" s="389"/>
      <c r="B272" s="694"/>
      <c r="C272" s="695"/>
      <c r="D272" s="688" t="s">
        <v>104</v>
      </c>
      <c r="E272" s="689"/>
      <c r="F272" s="690" t="s">
        <v>110</v>
      </c>
      <c r="G272" s="691"/>
      <c r="H272" s="428" t="s">
        <v>64</v>
      </c>
      <c r="I272" s="428" t="s">
        <v>64</v>
      </c>
      <c r="J272" s="428" t="s">
        <v>64</v>
      </c>
      <c r="K272" s="428" t="s">
        <v>64</v>
      </c>
      <c r="L272" s="428" t="s">
        <v>64</v>
      </c>
      <c r="M272" s="428">
        <v>4.5248868778280547E-3</v>
      </c>
      <c r="N272" s="428">
        <v>4.1666666666666666E-3</v>
      </c>
      <c r="O272" s="428">
        <v>4.1666666666666666E-3</v>
      </c>
      <c r="Z272" s="3"/>
    </row>
    <row r="273" spans="1:26" ht="15.75" thickBot="1" x14ac:dyDescent="0.3">
      <c r="A273" s="389"/>
      <c r="B273" s="694"/>
      <c r="C273" s="695"/>
      <c r="D273" s="688" t="s">
        <v>104</v>
      </c>
      <c r="E273" s="689"/>
      <c r="F273" s="690" t="s">
        <v>111</v>
      </c>
      <c r="G273" s="691"/>
      <c r="H273" s="428" t="s">
        <v>64</v>
      </c>
      <c r="I273" s="428" t="s">
        <v>64</v>
      </c>
      <c r="J273" s="428">
        <v>7.9000000000000008E-3</v>
      </c>
      <c r="K273" s="428">
        <f>1/168</f>
        <v>5.9523809523809521E-3</v>
      </c>
      <c r="L273" s="428">
        <v>4.7000000000000002E-3</v>
      </c>
      <c r="M273" s="428">
        <v>9.0497737556561094E-3</v>
      </c>
      <c r="N273" s="428">
        <v>8.3333333333333332E-3</v>
      </c>
      <c r="O273" s="428">
        <v>8.3333333333333332E-3</v>
      </c>
      <c r="Z273" s="3"/>
    </row>
    <row r="274" spans="1:26" ht="15.75" thickBot="1" x14ac:dyDescent="0.3">
      <c r="A274" s="389"/>
      <c r="B274" s="694"/>
      <c r="C274" s="695"/>
      <c r="D274" s="688" t="s">
        <v>104</v>
      </c>
      <c r="E274" s="689"/>
      <c r="F274" s="690" t="s">
        <v>108</v>
      </c>
      <c r="G274" s="691"/>
      <c r="H274" s="428" t="s">
        <v>64</v>
      </c>
      <c r="I274" s="428" t="s">
        <v>64</v>
      </c>
      <c r="J274" s="428" t="s">
        <v>64</v>
      </c>
      <c r="K274" s="428">
        <f>1/168</f>
        <v>5.9523809523809521E-3</v>
      </c>
      <c r="L274" s="428" t="s">
        <v>64</v>
      </c>
      <c r="M274" s="428">
        <v>4.5248868778280547E-3</v>
      </c>
      <c r="N274" s="428">
        <v>4.1666666666666666E-3</v>
      </c>
      <c r="O274" s="428" t="s">
        <v>64</v>
      </c>
      <c r="Z274" s="3"/>
    </row>
    <row r="275" spans="1:26" ht="15.75" thickBot="1" x14ac:dyDescent="0.3">
      <c r="A275" s="389"/>
      <c r="B275" s="694"/>
      <c r="C275" s="695"/>
      <c r="D275" s="688" t="s">
        <v>117</v>
      </c>
      <c r="E275" s="689"/>
      <c r="F275" s="688" t="s">
        <v>136</v>
      </c>
      <c r="G275" s="689"/>
      <c r="H275" s="428" t="s">
        <v>64</v>
      </c>
      <c r="I275" s="428" t="s">
        <v>64</v>
      </c>
      <c r="J275" s="428" t="s">
        <v>64</v>
      </c>
      <c r="K275" s="428">
        <f>2/168</f>
        <v>1.1904761904761904E-2</v>
      </c>
      <c r="L275" s="428">
        <f>2/193</f>
        <v>1.0362694300518135E-2</v>
      </c>
      <c r="M275" s="428">
        <v>1.3574660633484163E-2</v>
      </c>
      <c r="N275" s="428">
        <v>1.2500000000000001E-2</v>
      </c>
      <c r="O275" s="428">
        <v>8.3333333333333332E-3</v>
      </c>
      <c r="Z275" s="3"/>
    </row>
    <row r="276" spans="1:26" ht="15.75" thickBot="1" x14ac:dyDescent="0.3">
      <c r="A276" s="389"/>
      <c r="B276" s="694"/>
      <c r="C276" s="695"/>
      <c r="D276" s="688" t="s">
        <v>117</v>
      </c>
      <c r="E276" s="689"/>
      <c r="F276" s="688" t="s">
        <v>137</v>
      </c>
      <c r="G276" s="689"/>
      <c r="H276" s="428" t="s">
        <v>64</v>
      </c>
      <c r="I276" s="428" t="s">
        <v>64</v>
      </c>
      <c r="J276" s="428" t="s">
        <v>64</v>
      </c>
      <c r="K276" s="428" t="s">
        <v>64</v>
      </c>
      <c r="L276" s="428" t="s">
        <v>64</v>
      </c>
      <c r="M276" s="428" t="s">
        <v>64</v>
      </c>
      <c r="N276" s="428" t="s">
        <v>64</v>
      </c>
      <c r="O276" s="428" t="s">
        <v>64</v>
      </c>
      <c r="Z276" s="3"/>
    </row>
    <row r="277" spans="1:26" ht="15.75" thickBot="1" x14ac:dyDescent="0.3">
      <c r="A277" s="389"/>
      <c r="B277" s="694"/>
      <c r="C277" s="695"/>
      <c r="D277" s="688" t="s">
        <v>138</v>
      </c>
      <c r="E277" s="689"/>
      <c r="F277" s="688" t="s">
        <v>115</v>
      </c>
      <c r="G277" s="689"/>
      <c r="H277" s="428" t="s">
        <v>64</v>
      </c>
      <c r="I277" s="428" t="s">
        <v>64</v>
      </c>
      <c r="J277" s="428" t="s">
        <v>64</v>
      </c>
      <c r="K277" s="428" t="s">
        <v>64</v>
      </c>
      <c r="L277" s="428" t="s">
        <v>64</v>
      </c>
      <c r="M277" s="428" t="s">
        <v>64</v>
      </c>
      <c r="N277" s="428" t="s">
        <v>64</v>
      </c>
      <c r="O277" s="428" t="s">
        <v>64</v>
      </c>
      <c r="Z277" s="3"/>
    </row>
    <row r="278" spans="1:26" ht="15.75" thickBot="1" x14ac:dyDescent="0.3">
      <c r="A278" s="389"/>
      <c r="B278" s="694"/>
      <c r="C278" s="695"/>
      <c r="D278" s="688" t="s">
        <v>138</v>
      </c>
      <c r="E278" s="689"/>
      <c r="F278" s="688" t="s">
        <v>139</v>
      </c>
      <c r="G278" s="689"/>
      <c r="H278" s="428" t="s">
        <v>64</v>
      </c>
      <c r="I278" s="428" t="s">
        <v>64</v>
      </c>
      <c r="J278" s="428" t="s">
        <v>64</v>
      </c>
      <c r="K278" s="428" t="s">
        <v>64</v>
      </c>
      <c r="L278" s="428" t="s">
        <v>64</v>
      </c>
      <c r="M278" s="428" t="s">
        <v>64</v>
      </c>
      <c r="N278" s="428" t="s">
        <v>64</v>
      </c>
      <c r="O278" s="428" t="s">
        <v>64</v>
      </c>
    </row>
    <row r="279" spans="1:26" ht="15.75" thickBot="1" x14ac:dyDescent="0.3">
      <c r="A279" s="389"/>
      <c r="B279" s="694"/>
      <c r="C279" s="695"/>
      <c r="D279" s="688" t="s">
        <v>113</v>
      </c>
      <c r="E279" s="689"/>
      <c r="F279" s="688" t="s">
        <v>140</v>
      </c>
      <c r="G279" s="689"/>
      <c r="H279" s="428">
        <v>2.4400000000000002E-2</v>
      </c>
      <c r="I279" s="428">
        <v>1.2E-2</v>
      </c>
      <c r="J279" s="428" t="s">
        <v>64</v>
      </c>
      <c r="K279" s="428">
        <v>0.1</v>
      </c>
      <c r="L279" s="428" t="s">
        <v>64</v>
      </c>
      <c r="M279" s="428" t="s">
        <v>64</v>
      </c>
      <c r="N279" s="428">
        <v>4.1999999999999997E-3</v>
      </c>
      <c r="O279" s="428" t="s">
        <v>64</v>
      </c>
      <c r="X279" s="4"/>
    </row>
    <row r="280" spans="1:26" ht="15.75" thickBot="1" x14ac:dyDescent="0.3">
      <c r="A280" s="389"/>
      <c r="B280" s="694"/>
      <c r="C280" s="695"/>
      <c r="D280" s="688" t="s">
        <v>113</v>
      </c>
      <c r="E280" s="689"/>
      <c r="F280" s="690" t="s">
        <v>141</v>
      </c>
      <c r="G280" s="691"/>
      <c r="H280" s="428" t="s">
        <v>64</v>
      </c>
      <c r="I280" s="428" t="s">
        <v>64</v>
      </c>
      <c r="J280" s="428" t="s">
        <v>64</v>
      </c>
      <c r="K280" s="428" t="s">
        <v>64</v>
      </c>
      <c r="L280" s="428" t="s">
        <v>64</v>
      </c>
      <c r="M280" s="428" t="s">
        <v>64</v>
      </c>
      <c r="N280" s="428" t="s">
        <v>64</v>
      </c>
      <c r="O280" s="428" t="s">
        <v>64</v>
      </c>
    </row>
    <row r="281" spans="1:26" ht="15.75" customHeight="1" thickBot="1" x14ac:dyDescent="0.3">
      <c r="A281" s="389"/>
      <c r="B281" s="694"/>
      <c r="C281" s="695"/>
      <c r="D281" s="688" t="s">
        <v>142</v>
      </c>
      <c r="E281" s="689"/>
      <c r="F281" s="690"/>
      <c r="G281" s="691"/>
      <c r="H281" s="428" t="s">
        <v>64</v>
      </c>
      <c r="I281" s="428" t="s">
        <v>64</v>
      </c>
      <c r="J281" s="428" t="s">
        <v>64</v>
      </c>
      <c r="K281" s="428" t="s">
        <v>64</v>
      </c>
      <c r="L281" s="428">
        <f>25/193</f>
        <v>0.12953367875647667</v>
      </c>
      <c r="M281" s="428">
        <v>9.5022624434389136E-2</v>
      </c>
      <c r="N281" s="428">
        <v>0.1125</v>
      </c>
      <c r="O281" s="428">
        <f>22/240</f>
        <v>9.166666666666666E-2</v>
      </c>
    </row>
    <row r="282" spans="1:26" ht="15.75" customHeight="1" thickBot="1" x14ac:dyDescent="0.3">
      <c r="A282" s="389"/>
      <c r="B282" s="696"/>
      <c r="C282" s="697"/>
      <c r="D282" s="692" t="s">
        <v>143</v>
      </c>
      <c r="E282" s="693"/>
      <c r="F282" s="692" t="s">
        <v>64</v>
      </c>
      <c r="G282" s="693"/>
      <c r="H282" s="425">
        <v>0.48780000000000001</v>
      </c>
      <c r="I282" s="425">
        <v>0.45779999999999998</v>
      </c>
      <c r="J282" s="425">
        <v>0.42520000000000002</v>
      </c>
      <c r="K282" s="425">
        <f>74/168</f>
        <v>0.44047619047619047</v>
      </c>
      <c r="L282" s="425">
        <f>90/193</f>
        <v>0.46632124352331605</v>
      </c>
      <c r="M282" s="425">
        <v>0.56561085972850678</v>
      </c>
      <c r="N282" s="425">
        <v>0.55420000000000003</v>
      </c>
      <c r="O282" s="425">
        <f>157/240</f>
        <v>0.65416666666666667</v>
      </c>
    </row>
    <row r="283" spans="1:26" x14ac:dyDescent="0.25">
      <c r="B283" s="4" t="s">
        <v>832</v>
      </c>
    </row>
    <row r="284" spans="1:26" x14ac:dyDescent="0.25">
      <c r="B284" s="4" t="s">
        <v>54</v>
      </c>
    </row>
    <row r="288" spans="1:26" x14ac:dyDescent="0.25">
      <c r="D288" s="7"/>
    </row>
    <row r="289" spans="4:4" x14ac:dyDescent="0.25">
      <c r="D289" s="7"/>
    </row>
    <row r="290" spans="4:4" x14ac:dyDescent="0.25">
      <c r="D290" s="7"/>
    </row>
    <row r="315" spans="9:9" x14ac:dyDescent="0.25">
      <c r="I315" s="7"/>
    </row>
  </sheetData>
  <mergeCells count="286">
    <mergeCell ref="N140:P140"/>
    <mergeCell ref="N186:P186"/>
    <mergeCell ref="K186:M186"/>
    <mergeCell ref="B70:C70"/>
    <mergeCell ref="D70:F70"/>
    <mergeCell ref="B71:C79"/>
    <mergeCell ref="D71:F71"/>
    <mergeCell ref="D72:F72"/>
    <mergeCell ref="D73:F73"/>
    <mergeCell ref="O120:P120"/>
    <mergeCell ref="D79:F79"/>
    <mergeCell ref="D86:F86"/>
    <mergeCell ref="D87:F87"/>
    <mergeCell ref="D88:F88"/>
    <mergeCell ref="D85:F85"/>
    <mergeCell ref="D74:F74"/>
    <mergeCell ref="D75:F75"/>
    <mergeCell ref="D76:F76"/>
    <mergeCell ref="D77:F77"/>
    <mergeCell ref="D78:F78"/>
    <mergeCell ref="B84:K84"/>
    <mergeCell ref="B90:C90"/>
    <mergeCell ref="D90:F90"/>
    <mergeCell ref="L90:M90"/>
    <mergeCell ref="B25:C25"/>
    <mergeCell ref="D25:F25"/>
    <mergeCell ref="B26:C33"/>
    <mergeCell ref="D26:F26"/>
    <mergeCell ref="D27:F27"/>
    <mergeCell ref="D28:F28"/>
    <mergeCell ref="D29:F29"/>
    <mergeCell ref="D30:F30"/>
    <mergeCell ref="D31:F31"/>
    <mergeCell ref="D32:F32"/>
    <mergeCell ref="D33:F33"/>
    <mergeCell ref="B15:C15"/>
    <mergeCell ref="B16:C23"/>
    <mergeCell ref="D15:F15"/>
    <mergeCell ref="D23:F23"/>
    <mergeCell ref="D22:F22"/>
    <mergeCell ref="D21:F21"/>
    <mergeCell ref="D20:F20"/>
    <mergeCell ref="D19:F19"/>
    <mergeCell ref="D18:F18"/>
    <mergeCell ref="D17:F17"/>
    <mergeCell ref="D16:F16"/>
    <mergeCell ref="Q120:S120"/>
    <mergeCell ref="T120:V120"/>
    <mergeCell ref="W120:Y120"/>
    <mergeCell ref="B167:C183"/>
    <mergeCell ref="Z120:AB120"/>
    <mergeCell ref="E119:AB119"/>
    <mergeCell ref="E120:G120"/>
    <mergeCell ref="H120:J120"/>
    <mergeCell ref="K120:M120"/>
    <mergeCell ref="D119:D120"/>
    <mergeCell ref="B119:C120"/>
    <mergeCell ref="B121:C137"/>
    <mergeCell ref="B139:C140"/>
    <mergeCell ref="D139:D140"/>
    <mergeCell ref="E139:AB139"/>
    <mergeCell ref="E140:G140"/>
    <mergeCell ref="H140:J140"/>
    <mergeCell ref="K140:M140"/>
    <mergeCell ref="Q140:S140"/>
    <mergeCell ref="T140:V140"/>
    <mergeCell ref="W140:Y140"/>
    <mergeCell ref="Z140:AB140"/>
    <mergeCell ref="B141:C157"/>
    <mergeCell ref="B165:C166"/>
    <mergeCell ref="B40:C45"/>
    <mergeCell ref="D45:F45"/>
    <mergeCell ref="D44:F44"/>
    <mergeCell ref="D43:F43"/>
    <mergeCell ref="D42:F42"/>
    <mergeCell ref="D41:F41"/>
    <mergeCell ref="D40:F40"/>
    <mergeCell ref="D39:F39"/>
    <mergeCell ref="B47:C47"/>
    <mergeCell ref="D47:F47"/>
    <mergeCell ref="B39:C39"/>
    <mergeCell ref="B48:C53"/>
    <mergeCell ref="D48:F48"/>
    <mergeCell ref="D49:F49"/>
    <mergeCell ref="D50:F50"/>
    <mergeCell ref="D51:F51"/>
    <mergeCell ref="D52:F52"/>
    <mergeCell ref="D53:F53"/>
    <mergeCell ref="B59:C59"/>
    <mergeCell ref="D59:F59"/>
    <mergeCell ref="B58:G58"/>
    <mergeCell ref="B60:C68"/>
    <mergeCell ref="D68:F68"/>
    <mergeCell ref="D67:F67"/>
    <mergeCell ref="D65:F65"/>
    <mergeCell ref="D64:F64"/>
    <mergeCell ref="D63:F63"/>
    <mergeCell ref="D62:F62"/>
    <mergeCell ref="D61:F61"/>
    <mergeCell ref="D60:F60"/>
    <mergeCell ref="D66:F66"/>
    <mergeCell ref="B91:C93"/>
    <mergeCell ref="D91:F91"/>
    <mergeCell ref="D92:F92"/>
    <mergeCell ref="D93:F93"/>
    <mergeCell ref="B85:C85"/>
    <mergeCell ref="B86:C88"/>
    <mergeCell ref="L85:M85"/>
    <mergeCell ref="B100:C105"/>
    <mergeCell ref="D99:E99"/>
    <mergeCell ref="B99:C99"/>
    <mergeCell ref="D105:E105"/>
    <mergeCell ref="D104:E104"/>
    <mergeCell ref="D102:E102"/>
    <mergeCell ref="D103:E103"/>
    <mergeCell ref="D101:E101"/>
    <mergeCell ref="D100:E100"/>
    <mergeCell ref="B107:C107"/>
    <mergeCell ref="D107:E107"/>
    <mergeCell ref="D108:E108"/>
    <mergeCell ref="D109:E109"/>
    <mergeCell ref="D110:E110"/>
    <mergeCell ref="D111:E111"/>
    <mergeCell ref="D112:E112"/>
    <mergeCell ref="D113:E113"/>
    <mergeCell ref="B108:C108"/>
    <mergeCell ref="B109:C109"/>
    <mergeCell ref="B110:C110"/>
    <mergeCell ref="B111:C111"/>
    <mergeCell ref="D165:D166"/>
    <mergeCell ref="E165:AB165"/>
    <mergeCell ref="E166:G166"/>
    <mergeCell ref="H166:J166"/>
    <mergeCell ref="K166:M166"/>
    <mergeCell ref="O166:P166"/>
    <mergeCell ref="Q166:S166"/>
    <mergeCell ref="T166:V166"/>
    <mergeCell ref="W166:Y166"/>
    <mergeCell ref="Z166:AB166"/>
    <mergeCell ref="B187:C203"/>
    <mergeCell ref="Q186:S186"/>
    <mergeCell ref="E185:Y185"/>
    <mergeCell ref="B209:C209"/>
    <mergeCell ref="D209:E209"/>
    <mergeCell ref="B185:C186"/>
    <mergeCell ref="D185:D186"/>
    <mergeCell ref="E186:G186"/>
    <mergeCell ref="H186:J186"/>
    <mergeCell ref="T186:V186"/>
    <mergeCell ref="W186:Y186"/>
    <mergeCell ref="Z186:AB186"/>
    <mergeCell ref="F233:G233"/>
    <mergeCell ref="F234:G234"/>
    <mergeCell ref="F235:G235"/>
    <mergeCell ref="F236:G236"/>
    <mergeCell ref="F237:G237"/>
    <mergeCell ref="F238:G238"/>
    <mergeCell ref="B210:C212"/>
    <mergeCell ref="D212:E212"/>
    <mergeCell ref="D211:E211"/>
    <mergeCell ref="D210:E210"/>
    <mergeCell ref="B214:C214"/>
    <mergeCell ref="D214:E214"/>
    <mergeCell ref="B215:C217"/>
    <mergeCell ref="D215:E215"/>
    <mergeCell ref="D216:E216"/>
    <mergeCell ref="D217:E217"/>
    <mergeCell ref="D223:E224"/>
    <mergeCell ref="F228:G228"/>
    <mergeCell ref="F229:G229"/>
    <mergeCell ref="F230:G230"/>
    <mergeCell ref="F231:G231"/>
    <mergeCell ref="D235:E235"/>
    <mergeCell ref="D236:E236"/>
    <mergeCell ref="D238:E238"/>
    <mergeCell ref="F249:G249"/>
    <mergeCell ref="F250:G250"/>
    <mergeCell ref="F251:G251"/>
    <mergeCell ref="F252:G252"/>
    <mergeCell ref="F253:G253"/>
    <mergeCell ref="F244:G244"/>
    <mergeCell ref="F245:G245"/>
    <mergeCell ref="F246:G246"/>
    <mergeCell ref="F247:G247"/>
    <mergeCell ref="F248:G248"/>
    <mergeCell ref="F239:G239"/>
    <mergeCell ref="F240:G240"/>
    <mergeCell ref="F241:G241"/>
    <mergeCell ref="F242:G242"/>
    <mergeCell ref="F243:G243"/>
    <mergeCell ref="H223:O223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F223:G224"/>
    <mergeCell ref="F225:G225"/>
    <mergeCell ref="F226:G226"/>
    <mergeCell ref="F227:G227"/>
    <mergeCell ref="F232:G232"/>
    <mergeCell ref="D269:E269"/>
    <mergeCell ref="F269:G269"/>
    <mergeCell ref="D254:E254"/>
    <mergeCell ref="B223:C224"/>
    <mergeCell ref="B225:C254"/>
    <mergeCell ref="D249:E249"/>
    <mergeCell ref="D250:E250"/>
    <mergeCell ref="D251:E251"/>
    <mergeCell ref="D252:E252"/>
    <mergeCell ref="D253:E253"/>
    <mergeCell ref="D244:E244"/>
    <mergeCell ref="D245:E245"/>
    <mergeCell ref="D246:E246"/>
    <mergeCell ref="D247:E247"/>
    <mergeCell ref="D248:E248"/>
    <mergeCell ref="D239:E239"/>
    <mergeCell ref="D240:E240"/>
    <mergeCell ref="D241:E241"/>
    <mergeCell ref="D242:E242"/>
    <mergeCell ref="D243:E243"/>
    <mergeCell ref="F254:G254"/>
    <mergeCell ref="D233:E233"/>
    <mergeCell ref="D234:E234"/>
    <mergeCell ref="D237:E237"/>
    <mergeCell ref="D282:E282"/>
    <mergeCell ref="F282:G282"/>
    <mergeCell ref="F264:G264"/>
    <mergeCell ref="D265:E265"/>
    <mergeCell ref="F265:G265"/>
    <mergeCell ref="D266:E266"/>
    <mergeCell ref="F266:G266"/>
    <mergeCell ref="B256:C257"/>
    <mergeCell ref="D256:E257"/>
    <mergeCell ref="F256:G257"/>
    <mergeCell ref="B258:C282"/>
    <mergeCell ref="D258:E258"/>
    <mergeCell ref="F258:G258"/>
    <mergeCell ref="D259:E259"/>
    <mergeCell ref="F259:G259"/>
    <mergeCell ref="D260:E260"/>
    <mergeCell ref="F260:G260"/>
    <mergeCell ref="D261:E261"/>
    <mergeCell ref="F261:G261"/>
    <mergeCell ref="D262:E262"/>
    <mergeCell ref="F262:G262"/>
    <mergeCell ref="D263:E263"/>
    <mergeCell ref="F263:G263"/>
    <mergeCell ref="D264:E264"/>
    <mergeCell ref="D280:E280"/>
    <mergeCell ref="F280:G280"/>
    <mergeCell ref="D281:E281"/>
    <mergeCell ref="F281:G281"/>
    <mergeCell ref="D276:E276"/>
    <mergeCell ref="F276:G276"/>
    <mergeCell ref="D277:E277"/>
    <mergeCell ref="F277:G277"/>
    <mergeCell ref="D278:E278"/>
    <mergeCell ref="F278:G278"/>
    <mergeCell ref="B117:C117"/>
    <mergeCell ref="B116:C116"/>
    <mergeCell ref="B115:C115"/>
    <mergeCell ref="B114:C114"/>
    <mergeCell ref="B112:C113"/>
    <mergeCell ref="H256:O256"/>
    <mergeCell ref="D279:E279"/>
    <mergeCell ref="F279:G279"/>
    <mergeCell ref="D273:E273"/>
    <mergeCell ref="F273:G273"/>
    <mergeCell ref="D274:E274"/>
    <mergeCell ref="F274:G274"/>
    <mergeCell ref="D275:E275"/>
    <mergeCell ref="F275:G275"/>
    <mergeCell ref="D270:E270"/>
    <mergeCell ref="F272:G272"/>
    <mergeCell ref="D267:E267"/>
    <mergeCell ref="F270:G270"/>
    <mergeCell ref="D271:E271"/>
    <mergeCell ref="F271:G271"/>
    <mergeCell ref="D272:E272"/>
    <mergeCell ref="F267:G267"/>
    <mergeCell ref="D268:E268"/>
    <mergeCell ref="F268:G268"/>
  </mergeCells>
  <conditionalFormatting sqref="W84">
    <cfRule type="cellIs" dxfId="27" priority="10" operator="between">
      <formula>7</formula>
      <formula>7.99</formula>
    </cfRule>
    <cfRule type="cellIs" dxfId="26" priority="11" operator="between">
      <formula>6</formula>
      <formula>6.99</formula>
    </cfRule>
    <cfRule type="cellIs" dxfId="25" priority="12" operator="between">
      <formula>5</formula>
      <formula>6</formula>
    </cfRule>
  </conditionalFormatting>
  <conditionalFormatting sqref="W95">
    <cfRule type="cellIs" dxfId="24" priority="1" operator="between">
      <formula>7</formula>
      <formula>7.99</formula>
    </cfRule>
    <cfRule type="cellIs" dxfId="23" priority="2" operator="between">
      <formula>6</formula>
      <formula>6.99</formula>
    </cfRule>
    <cfRule type="cellIs" dxfId="22" priority="3" operator="between">
      <formula>5</formula>
      <formula>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9746-E9F4-4DE5-99E8-711691A38485}">
  <dimension ref="A1:Y726"/>
  <sheetViews>
    <sheetView workbookViewId="0"/>
  </sheetViews>
  <sheetFormatPr baseColWidth="10" defaultColWidth="11.5703125" defaultRowHeight="15" x14ac:dyDescent="0.25"/>
  <sheetData>
    <row r="1" spans="1:12" x14ac:dyDescent="0.25">
      <c r="A1" s="398"/>
      <c r="B1" s="398"/>
      <c r="C1" s="38"/>
      <c r="D1" s="39"/>
      <c r="E1" s="398"/>
      <c r="F1" s="398"/>
      <c r="G1" s="398"/>
      <c r="H1" s="398"/>
      <c r="I1" s="398"/>
      <c r="J1" s="398"/>
      <c r="K1" s="398"/>
      <c r="L1" s="398"/>
    </row>
    <row r="2" spans="1:12" x14ac:dyDescent="0.25">
      <c r="A2" s="398"/>
      <c r="B2" s="398"/>
      <c r="C2" s="38"/>
      <c r="D2" s="39"/>
      <c r="E2" s="398"/>
      <c r="F2" s="398"/>
      <c r="G2" s="398"/>
      <c r="H2" s="398"/>
      <c r="I2" s="398"/>
      <c r="J2" s="398"/>
      <c r="K2" s="398"/>
      <c r="L2" s="398"/>
    </row>
    <row r="3" spans="1:12" ht="15.75" x14ac:dyDescent="0.25">
      <c r="A3" s="398"/>
      <c r="B3" s="36"/>
      <c r="C3" s="38"/>
      <c r="D3" s="39"/>
      <c r="E3" s="398"/>
      <c r="F3" s="398"/>
      <c r="G3" s="398"/>
      <c r="H3" s="398"/>
      <c r="I3" s="398"/>
      <c r="J3" s="398"/>
      <c r="K3" s="398"/>
      <c r="L3" s="398"/>
    </row>
    <row r="4" spans="1:12" ht="15.75" x14ac:dyDescent="0.25">
      <c r="A4" s="398"/>
      <c r="B4" s="36"/>
      <c r="C4" s="38"/>
      <c r="D4" s="39"/>
      <c r="E4" s="398"/>
      <c r="F4" s="398"/>
      <c r="G4" s="398"/>
      <c r="H4" s="398"/>
      <c r="I4" s="398"/>
      <c r="J4" s="398"/>
      <c r="K4" s="398"/>
      <c r="L4" s="398"/>
    </row>
    <row r="5" spans="1:12" ht="15.75" x14ac:dyDescent="0.25">
      <c r="A5" s="398"/>
      <c r="B5" s="36"/>
      <c r="C5" s="38"/>
      <c r="D5" s="39"/>
      <c r="E5" s="398"/>
      <c r="F5" s="398"/>
      <c r="G5" s="398"/>
      <c r="H5" s="398"/>
      <c r="I5" s="398"/>
      <c r="J5" s="398"/>
      <c r="K5" s="398"/>
      <c r="L5" s="398"/>
    </row>
    <row r="6" spans="1:12" ht="15.75" x14ac:dyDescent="0.25">
      <c r="A6" s="398"/>
      <c r="B6" s="36"/>
      <c r="C6" s="38"/>
      <c r="D6" s="39"/>
      <c r="E6" s="398"/>
      <c r="F6" s="398"/>
      <c r="G6" s="398"/>
      <c r="H6" s="398"/>
      <c r="I6" s="398"/>
      <c r="J6" s="398"/>
      <c r="K6" s="398"/>
      <c r="L6" s="398"/>
    </row>
    <row r="7" spans="1:12" ht="18" x14ac:dyDescent="0.25">
      <c r="A7" s="398"/>
      <c r="B7" s="1" t="s">
        <v>0</v>
      </c>
      <c r="C7" s="38"/>
      <c r="D7" s="39"/>
      <c r="E7" s="398"/>
      <c r="F7" s="398"/>
      <c r="G7" s="398"/>
      <c r="H7" s="398"/>
      <c r="I7" s="398"/>
      <c r="J7" s="398"/>
      <c r="K7" s="398"/>
      <c r="L7" s="398"/>
    </row>
    <row r="8" spans="1:12" x14ac:dyDescent="0.25">
      <c r="A8" s="398"/>
      <c r="B8" s="398"/>
      <c r="C8" s="38"/>
      <c r="D8" s="39"/>
      <c r="E8" s="398"/>
      <c r="F8" s="398"/>
      <c r="G8" s="398"/>
      <c r="H8" s="398"/>
      <c r="I8" s="398"/>
      <c r="J8" s="398"/>
      <c r="K8" s="398"/>
      <c r="L8" s="398"/>
    </row>
    <row r="9" spans="1:12" ht="18" x14ac:dyDescent="0.25">
      <c r="A9" s="398"/>
      <c r="B9" s="1" t="s">
        <v>933</v>
      </c>
      <c r="C9" s="38"/>
      <c r="D9" s="39"/>
      <c r="E9" s="398"/>
      <c r="F9" s="398"/>
      <c r="G9" s="398"/>
      <c r="H9" s="398"/>
      <c r="I9" s="398"/>
      <c r="J9" s="398"/>
      <c r="K9" s="398"/>
      <c r="L9" s="398"/>
    </row>
    <row r="10" spans="1:12" ht="18" x14ac:dyDescent="0.25">
      <c r="A10" s="398"/>
      <c r="B10" s="1"/>
      <c r="C10" s="38"/>
      <c r="D10" s="39"/>
      <c r="E10" s="398"/>
      <c r="F10" s="398"/>
      <c r="G10" s="398"/>
      <c r="H10" s="398"/>
      <c r="I10" s="398"/>
      <c r="J10" s="398"/>
      <c r="K10" s="398"/>
      <c r="L10" s="398"/>
    </row>
    <row r="11" spans="1:12" ht="15.75" x14ac:dyDescent="0.25">
      <c r="A11" s="398"/>
      <c r="B11" s="36"/>
      <c r="C11" s="38"/>
      <c r="D11" s="39"/>
      <c r="E11" s="398"/>
      <c r="F11" s="398"/>
      <c r="G11" s="398"/>
      <c r="H11" s="398"/>
      <c r="I11" s="398"/>
      <c r="J11" s="398"/>
      <c r="K11" s="398"/>
      <c r="L11" s="398"/>
    </row>
    <row r="12" spans="1:12" x14ac:dyDescent="0.25">
      <c r="A12" s="398"/>
      <c r="B12" s="489" t="s">
        <v>1172</v>
      </c>
      <c r="C12" s="489"/>
      <c r="D12" s="489"/>
      <c r="E12" s="489"/>
      <c r="F12" s="489"/>
      <c r="G12" s="489"/>
      <c r="H12" s="489"/>
      <c r="I12" s="489"/>
      <c r="J12" s="489"/>
      <c r="K12" s="489"/>
      <c r="L12" s="489"/>
    </row>
    <row r="13" spans="1:12" ht="21" customHeight="1" x14ac:dyDescent="0.25">
      <c r="B13" s="665" t="s">
        <v>144</v>
      </c>
      <c r="C13" s="665"/>
      <c r="D13" s="665" t="s">
        <v>145</v>
      </c>
      <c r="E13" s="665"/>
      <c r="F13" s="665"/>
      <c r="G13" s="665" t="s">
        <v>146</v>
      </c>
      <c r="H13" s="665"/>
      <c r="I13" s="665"/>
      <c r="J13" s="665"/>
      <c r="K13" s="665"/>
    </row>
    <row r="14" spans="1:12" x14ac:dyDescent="0.25">
      <c r="A14" s="389"/>
      <c r="B14" s="750" t="s">
        <v>147</v>
      </c>
      <c r="C14" s="751"/>
      <c r="D14" s="740" t="s">
        <v>1281</v>
      </c>
      <c r="E14" s="741"/>
      <c r="F14" s="741"/>
      <c r="G14" s="736" t="s">
        <v>1319</v>
      </c>
      <c r="H14" s="737"/>
      <c r="I14" s="737"/>
      <c r="J14" s="737"/>
      <c r="K14" s="737"/>
    </row>
    <row r="15" spans="1:12" x14ac:dyDescent="0.25">
      <c r="A15" s="389"/>
      <c r="B15" s="750"/>
      <c r="C15" s="751"/>
      <c r="D15" s="740" t="s">
        <v>1282</v>
      </c>
      <c r="E15" s="741"/>
      <c r="F15" s="741"/>
      <c r="G15" s="736"/>
      <c r="H15" s="737"/>
      <c r="I15" s="737"/>
      <c r="J15" s="737"/>
      <c r="K15" s="737"/>
    </row>
    <row r="16" spans="1:12" x14ac:dyDescent="0.25">
      <c r="A16" s="389"/>
      <c r="B16" s="750"/>
      <c r="C16" s="751"/>
      <c r="D16" s="740" t="s">
        <v>1283</v>
      </c>
      <c r="E16" s="741"/>
      <c r="F16" s="741"/>
      <c r="G16" s="736"/>
      <c r="H16" s="737"/>
      <c r="I16" s="737"/>
      <c r="J16" s="737"/>
      <c r="K16" s="737"/>
    </row>
    <row r="17" spans="1:11" ht="35.25" customHeight="1" x14ac:dyDescent="0.25">
      <c r="A17" s="389"/>
      <c r="B17" s="750"/>
      <c r="C17" s="751"/>
      <c r="D17" s="740" t="s">
        <v>148</v>
      </c>
      <c r="E17" s="741"/>
      <c r="F17" s="741"/>
      <c r="G17" s="736"/>
      <c r="H17" s="737"/>
      <c r="I17" s="737"/>
      <c r="J17" s="737"/>
      <c r="K17" s="737"/>
    </row>
    <row r="18" spans="1:11" ht="36" customHeight="1" x14ac:dyDescent="0.25">
      <c r="A18" s="389"/>
      <c r="B18" s="750"/>
      <c r="C18" s="751"/>
      <c r="D18" s="740" t="s">
        <v>1284</v>
      </c>
      <c r="E18" s="741"/>
      <c r="F18" s="741"/>
      <c r="G18" s="736"/>
      <c r="H18" s="737"/>
      <c r="I18" s="737"/>
      <c r="J18" s="737"/>
      <c r="K18" s="737"/>
    </row>
    <row r="19" spans="1:11" x14ac:dyDescent="0.25">
      <c r="A19" s="389"/>
      <c r="B19" s="750"/>
      <c r="C19" s="751"/>
      <c r="D19" s="740" t="s">
        <v>1317</v>
      </c>
      <c r="E19" s="741"/>
      <c r="F19" s="741"/>
      <c r="G19" s="736"/>
      <c r="H19" s="737"/>
      <c r="I19" s="737"/>
      <c r="J19" s="737"/>
      <c r="K19" s="737"/>
    </row>
    <row r="20" spans="1:11" ht="21" customHeight="1" x14ac:dyDescent="0.25">
      <c r="A20" s="389"/>
      <c r="B20" s="750"/>
      <c r="C20" s="751"/>
      <c r="D20" s="740" t="s">
        <v>149</v>
      </c>
      <c r="E20" s="741"/>
      <c r="F20" s="741"/>
      <c r="G20" s="736"/>
      <c r="H20" s="737"/>
      <c r="I20" s="737"/>
      <c r="J20" s="737"/>
      <c r="K20" s="737"/>
    </row>
    <row r="21" spans="1:11" ht="21" customHeight="1" x14ac:dyDescent="0.25">
      <c r="A21" s="389"/>
      <c r="B21" s="750"/>
      <c r="C21" s="751"/>
      <c r="D21" s="740" t="s">
        <v>150</v>
      </c>
      <c r="E21" s="741"/>
      <c r="F21" s="741"/>
      <c r="G21" s="736"/>
      <c r="H21" s="737"/>
      <c r="I21" s="737"/>
      <c r="J21" s="737"/>
      <c r="K21" s="737"/>
    </row>
    <row r="22" spans="1:11" x14ac:dyDescent="0.25">
      <c r="A22" s="389"/>
      <c r="B22" s="750"/>
      <c r="C22" s="751"/>
      <c r="D22" s="740" t="s">
        <v>151</v>
      </c>
      <c r="E22" s="741"/>
      <c r="F22" s="741"/>
      <c r="G22" s="736"/>
      <c r="H22" s="737"/>
      <c r="I22" s="737"/>
      <c r="J22" s="737"/>
      <c r="K22" s="737"/>
    </row>
    <row r="23" spans="1:11" ht="21" customHeight="1" x14ac:dyDescent="0.25">
      <c r="A23" s="389"/>
      <c r="B23" s="750"/>
      <c r="C23" s="751"/>
      <c r="D23" s="740" t="s">
        <v>152</v>
      </c>
      <c r="E23" s="741"/>
      <c r="F23" s="741"/>
      <c r="G23" s="736"/>
      <c r="H23" s="737"/>
      <c r="I23" s="737"/>
      <c r="J23" s="737"/>
      <c r="K23" s="737"/>
    </row>
    <row r="24" spans="1:11" x14ac:dyDescent="0.25">
      <c r="A24" s="389"/>
      <c r="B24" s="750"/>
      <c r="C24" s="751"/>
      <c r="D24" s="740" t="s">
        <v>1285</v>
      </c>
      <c r="E24" s="741"/>
      <c r="F24" s="741"/>
      <c r="G24" s="736"/>
      <c r="H24" s="737"/>
      <c r="I24" s="737"/>
      <c r="J24" s="737"/>
      <c r="K24" s="737"/>
    </row>
    <row r="25" spans="1:11" ht="21" customHeight="1" x14ac:dyDescent="0.25">
      <c r="A25" s="389"/>
      <c r="B25" s="750"/>
      <c r="C25" s="751"/>
      <c r="D25" s="740" t="s">
        <v>153</v>
      </c>
      <c r="E25" s="741"/>
      <c r="F25" s="741"/>
      <c r="G25" s="736"/>
      <c r="H25" s="737"/>
      <c r="I25" s="737"/>
      <c r="J25" s="737"/>
      <c r="K25" s="737"/>
    </row>
    <row r="26" spans="1:11" ht="21" customHeight="1" thickBot="1" x14ac:dyDescent="0.3">
      <c r="A26" s="389"/>
      <c r="B26" s="754"/>
      <c r="C26" s="755"/>
      <c r="D26" s="745" t="s">
        <v>154</v>
      </c>
      <c r="E26" s="746"/>
      <c r="F26" s="747"/>
      <c r="G26" s="734"/>
      <c r="H26" s="735"/>
      <c r="I26" s="735"/>
      <c r="J26" s="735"/>
      <c r="K26" s="735"/>
    </row>
    <row r="27" spans="1:11" ht="15" customHeight="1" x14ac:dyDescent="0.25">
      <c r="A27" s="389"/>
      <c r="B27" s="748" t="s">
        <v>155</v>
      </c>
      <c r="C27" s="749"/>
      <c r="D27" s="740" t="s">
        <v>156</v>
      </c>
      <c r="E27" s="741"/>
      <c r="F27" s="741"/>
      <c r="G27" s="732" t="s">
        <v>1320</v>
      </c>
      <c r="H27" s="733"/>
      <c r="I27" s="733"/>
      <c r="J27" s="733"/>
      <c r="K27" s="733"/>
    </row>
    <row r="28" spans="1:11" x14ac:dyDescent="0.25">
      <c r="A28" s="389"/>
      <c r="B28" s="750"/>
      <c r="C28" s="751"/>
      <c r="D28" s="740" t="s">
        <v>157</v>
      </c>
      <c r="E28" s="741"/>
      <c r="F28" s="741"/>
      <c r="G28" s="736"/>
      <c r="H28" s="737"/>
      <c r="I28" s="737"/>
      <c r="J28" s="737"/>
      <c r="K28" s="737"/>
    </row>
    <row r="29" spans="1:11" ht="15" customHeight="1" x14ac:dyDescent="0.25">
      <c r="A29" s="389"/>
      <c r="B29" s="750"/>
      <c r="C29" s="751"/>
      <c r="D29" s="740" t="s">
        <v>158</v>
      </c>
      <c r="E29" s="741"/>
      <c r="F29" s="741"/>
      <c r="G29" s="736"/>
      <c r="H29" s="737"/>
      <c r="I29" s="737"/>
      <c r="J29" s="737"/>
      <c r="K29" s="737"/>
    </row>
    <row r="30" spans="1:11" x14ac:dyDescent="0.25">
      <c r="A30" s="389"/>
      <c r="B30" s="750"/>
      <c r="C30" s="751"/>
      <c r="D30" s="740" t="s">
        <v>159</v>
      </c>
      <c r="E30" s="741"/>
      <c r="F30" s="741"/>
      <c r="G30" s="736"/>
      <c r="H30" s="737"/>
      <c r="I30" s="737"/>
      <c r="J30" s="737"/>
      <c r="K30" s="737"/>
    </row>
    <row r="31" spans="1:11" x14ac:dyDescent="0.25">
      <c r="A31" s="389"/>
      <c r="B31" s="750"/>
      <c r="C31" s="751"/>
      <c r="D31" s="740" t="s">
        <v>160</v>
      </c>
      <c r="E31" s="741"/>
      <c r="F31" s="741"/>
      <c r="G31" s="736"/>
      <c r="H31" s="737"/>
      <c r="I31" s="737"/>
      <c r="J31" s="737"/>
      <c r="K31" s="737"/>
    </row>
    <row r="32" spans="1:11" x14ac:dyDescent="0.25">
      <c r="A32" s="389"/>
      <c r="B32" s="750"/>
      <c r="C32" s="751"/>
      <c r="D32" s="740" t="s">
        <v>161</v>
      </c>
      <c r="E32" s="741"/>
      <c r="F32" s="741"/>
      <c r="G32" s="736"/>
      <c r="H32" s="737"/>
      <c r="I32" s="737"/>
      <c r="J32" s="737"/>
      <c r="K32" s="737"/>
    </row>
    <row r="33" spans="1:13" ht="15.75" thickBot="1" x14ac:dyDescent="0.3">
      <c r="A33" s="389"/>
      <c r="B33" s="754"/>
      <c r="C33" s="755"/>
      <c r="D33" s="745" t="s">
        <v>1286</v>
      </c>
      <c r="E33" s="746"/>
      <c r="F33" s="747"/>
      <c r="G33" s="734"/>
      <c r="H33" s="735"/>
      <c r="I33" s="735"/>
      <c r="J33" s="735"/>
      <c r="K33" s="735"/>
    </row>
    <row r="34" spans="1:13" ht="16.5" customHeight="1" x14ac:dyDescent="0.25">
      <c r="A34" s="389"/>
      <c r="B34" s="748" t="s">
        <v>1287</v>
      </c>
      <c r="C34" s="749"/>
      <c r="D34" s="740" t="s">
        <v>1288</v>
      </c>
      <c r="E34" s="741"/>
      <c r="F34" s="741"/>
      <c r="G34" s="732" t="s">
        <v>1350</v>
      </c>
      <c r="H34" s="733"/>
      <c r="I34" s="733"/>
      <c r="J34" s="733"/>
      <c r="K34" s="733"/>
    </row>
    <row r="35" spans="1:13" x14ac:dyDescent="0.25">
      <c r="A35" s="389"/>
      <c r="B35" s="750"/>
      <c r="C35" s="751"/>
      <c r="D35" s="740" t="s">
        <v>1289</v>
      </c>
      <c r="E35" s="741"/>
      <c r="F35" s="741"/>
      <c r="G35" s="736"/>
      <c r="H35" s="737"/>
      <c r="I35" s="737"/>
      <c r="J35" s="737"/>
      <c r="K35" s="737"/>
    </row>
    <row r="36" spans="1:13" ht="18.75" customHeight="1" thickBot="1" x14ac:dyDescent="0.3">
      <c r="A36" s="389"/>
      <c r="B36" s="754"/>
      <c r="C36" s="755"/>
      <c r="D36" s="745" t="s">
        <v>1290</v>
      </c>
      <c r="E36" s="746"/>
      <c r="F36" s="747"/>
      <c r="G36" s="734"/>
      <c r="H36" s="735"/>
      <c r="I36" s="735"/>
      <c r="J36" s="735"/>
      <c r="K36" s="735"/>
    </row>
    <row r="37" spans="1:13" x14ac:dyDescent="0.25">
      <c r="A37" s="389"/>
      <c r="B37" s="748" t="s">
        <v>162</v>
      </c>
      <c r="C37" s="749"/>
      <c r="D37" s="740" t="s">
        <v>163</v>
      </c>
      <c r="E37" s="741"/>
      <c r="F37" s="741"/>
      <c r="G37" s="732" t="s">
        <v>1354</v>
      </c>
      <c r="H37" s="733"/>
      <c r="I37" s="733"/>
      <c r="J37" s="733"/>
      <c r="K37" s="733"/>
    </row>
    <row r="38" spans="1:13" ht="22.5" customHeight="1" x14ac:dyDescent="0.25">
      <c r="A38" s="389"/>
      <c r="B38" s="750"/>
      <c r="C38" s="751"/>
      <c r="D38" s="740" t="s">
        <v>164</v>
      </c>
      <c r="E38" s="741"/>
      <c r="F38" s="741"/>
      <c r="G38" s="736"/>
      <c r="H38" s="737"/>
      <c r="I38" s="737"/>
      <c r="J38" s="737"/>
      <c r="K38" s="737"/>
    </row>
    <row r="39" spans="1:13" x14ac:dyDescent="0.25">
      <c r="A39" s="389"/>
      <c r="B39" s="750"/>
      <c r="C39" s="751"/>
      <c r="D39" s="740" t="s">
        <v>1291</v>
      </c>
      <c r="E39" s="741"/>
      <c r="F39" s="741"/>
      <c r="G39" s="736"/>
      <c r="H39" s="737"/>
      <c r="I39" s="737"/>
      <c r="J39" s="737"/>
      <c r="K39" s="737"/>
    </row>
    <row r="40" spans="1:13" x14ac:dyDescent="0.25">
      <c r="A40" s="389"/>
      <c r="B40" s="750"/>
      <c r="C40" s="751"/>
      <c r="D40" s="740" t="s">
        <v>1292</v>
      </c>
      <c r="E40" s="741"/>
      <c r="F40" s="741"/>
      <c r="G40" s="736"/>
      <c r="H40" s="737"/>
      <c r="I40" s="737"/>
      <c r="J40" s="737"/>
      <c r="K40" s="737"/>
    </row>
    <row r="41" spans="1:13" x14ac:dyDescent="0.25">
      <c r="A41" s="389"/>
      <c r="B41" s="750"/>
      <c r="C41" s="751"/>
      <c r="D41" s="740" t="s">
        <v>1293</v>
      </c>
      <c r="E41" s="741"/>
      <c r="F41" s="741"/>
      <c r="G41" s="736"/>
      <c r="H41" s="737"/>
      <c r="I41" s="737"/>
      <c r="J41" s="737"/>
      <c r="K41" s="737"/>
    </row>
    <row r="42" spans="1:13" x14ac:dyDescent="0.25">
      <c r="A42" s="389"/>
      <c r="B42" s="750"/>
      <c r="C42" s="751"/>
      <c r="D42" s="740" t="s">
        <v>1294</v>
      </c>
      <c r="E42" s="741"/>
      <c r="F42" s="741"/>
      <c r="G42" s="736"/>
      <c r="H42" s="737"/>
      <c r="I42" s="737"/>
      <c r="J42" s="737"/>
      <c r="K42" s="737"/>
      <c r="M42" s="398"/>
    </row>
    <row r="43" spans="1:13" x14ac:dyDescent="0.25">
      <c r="A43" s="389"/>
      <c r="B43" s="750"/>
      <c r="C43" s="751"/>
      <c r="D43" s="740" t="s">
        <v>1295</v>
      </c>
      <c r="E43" s="741"/>
      <c r="F43" s="741"/>
      <c r="G43" s="736"/>
      <c r="H43" s="737"/>
      <c r="I43" s="737"/>
      <c r="J43" s="737"/>
      <c r="K43" s="737"/>
    </row>
    <row r="44" spans="1:13" x14ac:dyDescent="0.25">
      <c r="A44" s="389"/>
      <c r="B44" s="750"/>
      <c r="C44" s="751"/>
      <c r="D44" s="740" t="s">
        <v>1296</v>
      </c>
      <c r="E44" s="741"/>
      <c r="F44" s="741"/>
      <c r="G44" s="736"/>
      <c r="H44" s="737"/>
      <c r="I44" s="737"/>
      <c r="J44" s="737"/>
      <c r="K44" s="737"/>
    </row>
    <row r="45" spans="1:13" x14ac:dyDescent="0.25">
      <c r="A45" s="389"/>
      <c r="B45" s="750"/>
      <c r="C45" s="751"/>
      <c r="D45" s="740" t="s">
        <v>1297</v>
      </c>
      <c r="E45" s="741"/>
      <c r="F45" s="741"/>
      <c r="G45" s="736"/>
      <c r="H45" s="737"/>
      <c r="I45" s="737"/>
      <c r="J45" s="737"/>
      <c r="K45" s="737"/>
    </row>
    <row r="46" spans="1:13" x14ac:dyDescent="0.25">
      <c r="A46" s="389"/>
      <c r="B46" s="750"/>
      <c r="C46" s="751"/>
      <c r="D46" s="740" t="s">
        <v>1298</v>
      </c>
      <c r="E46" s="741"/>
      <c r="F46" s="741"/>
      <c r="G46" s="736"/>
      <c r="H46" s="737"/>
      <c r="I46" s="737"/>
      <c r="J46" s="737"/>
      <c r="K46" s="737"/>
    </row>
    <row r="47" spans="1:13" x14ac:dyDescent="0.25">
      <c r="A47" s="389"/>
      <c r="B47" s="750"/>
      <c r="C47" s="751"/>
      <c r="D47" s="740" t="s">
        <v>1299</v>
      </c>
      <c r="E47" s="741"/>
      <c r="F47" s="741"/>
      <c r="G47" s="736"/>
      <c r="H47" s="737"/>
      <c r="I47" s="737"/>
      <c r="J47" s="737"/>
      <c r="K47" s="737"/>
    </row>
    <row r="48" spans="1:13" x14ac:dyDescent="0.25">
      <c r="A48" s="389"/>
      <c r="B48" s="750"/>
      <c r="C48" s="751"/>
      <c r="D48" s="740" t="s">
        <v>165</v>
      </c>
      <c r="E48" s="741"/>
      <c r="F48" s="741"/>
      <c r="G48" s="736"/>
      <c r="H48" s="737"/>
      <c r="I48" s="737"/>
      <c r="J48" s="737"/>
      <c r="K48" s="737"/>
    </row>
    <row r="49" spans="1:11" x14ac:dyDescent="0.25">
      <c r="A49" s="389"/>
      <c r="B49" s="750"/>
      <c r="C49" s="751"/>
      <c r="D49" s="740" t="s">
        <v>166</v>
      </c>
      <c r="E49" s="741"/>
      <c r="F49" s="741"/>
      <c r="G49" s="736"/>
      <c r="H49" s="737"/>
      <c r="I49" s="737"/>
      <c r="J49" s="737"/>
      <c r="K49" s="737"/>
    </row>
    <row r="50" spans="1:11" ht="15.75" thickBot="1" x14ac:dyDescent="0.3">
      <c r="A50" s="389"/>
      <c r="B50" s="754"/>
      <c r="C50" s="755"/>
      <c r="D50" s="745" t="s">
        <v>167</v>
      </c>
      <c r="E50" s="746"/>
      <c r="F50" s="747"/>
      <c r="G50" s="734"/>
      <c r="H50" s="735"/>
      <c r="I50" s="735"/>
      <c r="J50" s="735"/>
      <c r="K50" s="735"/>
    </row>
    <row r="51" spans="1:11" ht="18.75" customHeight="1" x14ac:dyDescent="0.25">
      <c r="A51" s="389"/>
      <c r="B51" s="748" t="s">
        <v>168</v>
      </c>
      <c r="C51" s="749"/>
      <c r="D51" s="740" t="s">
        <v>1300</v>
      </c>
      <c r="E51" s="741"/>
      <c r="F51" s="741"/>
      <c r="G51" s="732" t="s">
        <v>1321</v>
      </c>
      <c r="H51" s="733"/>
      <c r="I51" s="733"/>
      <c r="J51" s="733"/>
      <c r="K51" s="733"/>
    </row>
    <row r="52" spans="1:11" ht="18.75" customHeight="1" x14ac:dyDescent="0.25">
      <c r="A52" s="389"/>
      <c r="B52" s="750"/>
      <c r="C52" s="751"/>
      <c r="D52" s="740" t="s">
        <v>1301</v>
      </c>
      <c r="E52" s="741"/>
      <c r="F52" s="741"/>
      <c r="G52" s="736"/>
      <c r="H52" s="737"/>
      <c r="I52" s="737"/>
      <c r="J52" s="737"/>
      <c r="K52" s="737"/>
    </row>
    <row r="53" spans="1:11" ht="17.25" customHeight="1" thickBot="1" x14ac:dyDescent="0.3">
      <c r="A53" s="389"/>
      <c r="B53" s="754"/>
      <c r="C53" s="755"/>
      <c r="D53" s="745" t="s">
        <v>1302</v>
      </c>
      <c r="E53" s="746"/>
      <c r="F53" s="747"/>
      <c r="G53" s="734"/>
      <c r="H53" s="735"/>
      <c r="I53" s="735"/>
      <c r="J53" s="735"/>
      <c r="K53" s="735"/>
    </row>
    <row r="54" spans="1:11" ht="15" customHeight="1" x14ac:dyDescent="0.25">
      <c r="A54" s="389"/>
      <c r="B54" s="748" t="s">
        <v>169</v>
      </c>
      <c r="C54" s="749"/>
      <c r="D54" s="740" t="s">
        <v>151</v>
      </c>
      <c r="E54" s="741"/>
      <c r="F54" s="741"/>
      <c r="G54" s="732" t="s">
        <v>1322</v>
      </c>
      <c r="H54" s="733"/>
      <c r="I54" s="733"/>
      <c r="J54" s="733"/>
      <c r="K54" s="733"/>
    </row>
    <row r="55" spans="1:11" x14ac:dyDescent="0.25">
      <c r="A55" s="389"/>
      <c r="B55" s="750"/>
      <c r="C55" s="751"/>
      <c r="D55" s="740" t="s">
        <v>1303</v>
      </c>
      <c r="E55" s="741"/>
      <c r="F55" s="741"/>
      <c r="G55" s="736"/>
      <c r="H55" s="737"/>
      <c r="I55" s="737"/>
      <c r="J55" s="737"/>
      <c r="K55" s="737"/>
    </row>
    <row r="56" spans="1:11" x14ac:dyDescent="0.25">
      <c r="A56" s="389"/>
      <c r="B56" s="750"/>
      <c r="C56" s="751"/>
      <c r="D56" s="740" t="s">
        <v>1304</v>
      </c>
      <c r="E56" s="741"/>
      <c r="F56" s="741"/>
      <c r="G56" s="736"/>
      <c r="H56" s="737"/>
      <c r="I56" s="737"/>
      <c r="J56" s="737"/>
      <c r="K56" s="737"/>
    </row>
    <row r="57" spans="1:11" x14ac:dyDescent="0.25">
      <c r="A57" s="389"/>
      <c r="B57" s="750"/>
      <c r="C57" s="751"/>
      <c r="D57" s="740" t="s">
        <v>1305</v>
      </c>
      <c r="E57" s="741"/>
      <c r="F57" s="741"/>
      <c r="G57" s="736"/>
      <c r="H57" s="737"/>
      <c r="I57" s="737"/>
      <c r="J57" s="737"/>
      <c r="K57" s="737"/>
    </row>
    <row r="58" spans="1:11" ht="26.25" customHeight="1" thickBot="1" x14ac:dyDescent="0.3">
      <c r="A58" s="389"/>
      <c r="B58" s="754"/>
      <c r="C58" s="755"/>
      <c r="D58" s="745" t="s">
        <v>1306</v>
      </c>
      <c r="E58" s="746"/>
      <c r="F58" s="747"/>
      <c r="G58" s="734"/>
      <c r="H58" s="735"/>
      <c r="I58" s="735"/>
      <c r="J58" s="735"/>
      <c r="K58" s="735"/>
    </row>
    <row r="59" spans="1:11" x14ac:dyDescent="0.25">
      <c r="A59" s="389"/>
      <c r="B59" s="748" t="s">
        <v>170</v>
      </c>
      <c r="C59" s="749"/>
      <c r="D59" s="740" t="s">
        <v>1307</v>
      </c>
      <c r="E59" s="741"/>
      <c r="F59" s="741"/>
      <c r="G59" s="732" t="s">
        <v>1323</v>
      </c>
      <c r="H59" s="733"/>
      <c r="I59" s="733"/>
      <c r="J59" s="733"/>
      <c r="K59" s="733"/>
    </row>
    <row r="60" spans="1:11" ht="22.5" customHeight="1" x14ac:dyDescent="0.25">
      <c r="A60" s="389"/>
      <c r="B60" s="750"/>
      <c r="C60" s="751"/>
      <c r="D60" s="740" t="s">
        <v>1308</v>
      </c>
      <c r="E60" s="741"/>
      <c r="F60" s="741"/>
      <c r="G60" s="736"/>
      <c r="H60" s="737"/>
      <c r="I60" s="737"/>
      <c r="J60" s="737"/>
      <c r="K60" s="737"/>
    </row>
    <row r="61" spans="1:11" x14ac:dyDescent="0.25">
      <c r="A61" s="389"/>
      <c r="B61" s="750"/>
      <c r="C61" s="751"/>
      <c r="D61" s="740" t="s">
        <v>1309</v>
      </c>
      <c r="E61" s="741"/>
      <c r="F61" s="741"/>
      <c r="G61" s="736"/>
      <c r="H61" s="737"/>
      <c r="I61" s="737"/>
      <c r="J61" s="737"/>
      <c r="K61" s="737"/>
    </row>
    <row r="62" spans="1:11" x14ac:dyDescent="0.25">
      <c r="A62" s="389"/>
      <c r="B62" s="750"/>
      <c r="C62" s="751"/>
      <c r="D62" s="740" t="s">
        <v>151</v>
      </c>
      <c r="E62" s="741"/>
      <c r="F62" s="741"/>
      <c r="G62" s="736"/>
      <c r="H62" s="737"/>
      <c r="I62" s="737"/>
      <c r="J62" s="737"/>
      <c r="K62" s="737"/>
    </row>
    <row r="63" spans="1:11" x14ac:dyDescent="0.25">
      <c r="A63" s="389"/>
      <c r="B63" s="750"/>
      <c r="C63" s="751"/>
      <c r="D63" s="740" t="s">
        <v>1310</v>
      </c>
      <c r="E63" s="741"/>
      <c r="F63" s="741"/>
      <c r="G63" s="736"/>
      <c r="H63" s="737"/>
      <c r="I63" s="737"/>
      <c r="J63" s="737"/>
      <c r="K63" s="737"/>
    </row>
    <row r="64" spans="1:11" ht="15.75" thickBot="1" x14ac:dyDescent="0.3">
      <c r="A64" s="389"/>
      <c r="B64" s="754"/>
      <c r="C64" s="755"/>
      <c r="D64" s="745" t="s">
        <v>1311</v>
      </c>
      <c r="E64" s="746"/>
      <c r="F64" s="747"/>
      <c r="G64" s="734"/>
      <c r="H64" s="735"/>
      <c r="I64" s="735"/>
      <c r="J64" s="735"/>
      <c r="K64" s="735"/>
    </row>
    <row r="65" spans="1:11" ht="42.75" customHeight="1" x14ac:dyDescent="0.25">
      <c r="A65" s="389"/>
      <c r="B65" s="748" t="s">
        <v>171</v>
      </c>
      <c r="C65" s="749"/>
      <c r="D65" s="740" t="s">
        <v>1312</v>
      </c>
      <c r="E65" s="741"/>
      <c r="F65" s="741"/>
      <c r="G65" s="732" t="s">
        <v>1324</v>
      </c>
      <c r="H65" s="733"/>
      <c r="I65" s="733"/>
      <c r="J65" s="733"/>
      <c r="K65" s="733"/>
    </row>
    <row r="66" spans="1:11" ht="42" customHeight="1" thickBot="1" x14ac:dyDescent="0.3">
      <c r="A66" s="389"/>
      <c r="B66" s="754"/>
      <c r="C66" s="755"/>
      <c r="D66" s="745" t="s">
        <v>1313</v>
      </c>
      <c r="E66" s="746"/>
      <c r="F66" s="747"/>
      <c r="G66" s="734"/>
      <c r="H66" s="735"/>
      <c r="I66" s="735"/>
      <c r="J66" s="735"/>
      <c r="K66" s="735"/>
    </row>
    <row r="67" spans="1:11" x14ac:dyDescent="0.25">
      <c r="A67" s="389"/>
      <c r="B67" s="748" t="s">
        <v>172</v>
      </c>
      <c r="C67" s="749"/>
      <c r="D67" s="740" t="s">
        <v>1314</v>
      </c>
      <c r="E67" s="741"/>
      <c r="F67" s="741"/>
      <c r="G67" s="732" t="s">
        <v>1355</v>
      </c>
      <c r="H67" s="733"/>
      <c r="I67" s="733"/>
      <c r="J67" s="733"/>
      <c r="K67" s="733"/>
    </row>
    <row r="68" spans="1:11" x14ac:dyDescent="0.25">
      <c r="A68" s="389"/>
      <c r="B68" s="750"/>
      <c r="C68" s="751"/>
      <c r="D68" s="740" t="s">
        <v>1315</v>
      </c>
      <c r="E68" s="741"/>
      <c r="F68" s="741"/>
      <c r="G68" s="736"/>
      <c r="H68" s="737"/>
      <c r="I68" s="737"/>
      <c r="J68" s="737"/>
      <c r="K68" s="737"/>
    </row>
    <row r="69" spans="1:11" x14ac:dyDescent="0.25">
      <c r="A69" s="389"/>
      <c r="B69" s="750"/>
      <c r="C69" s="751"/>
      <c r="D69" s="740" t="s">
        <v>173</v>
      </c>
      <c r="E69" s="741"/>
      <c r="F69" s="741"/>
      <c r="G69" s="736"/>
      <c r="H69" s="737"/>
      <c r="I69" s="737"/>
      <c r="J69" s="737"/>
      <c r="K69" s="737"/>
    </row>
    <row r="70" spans="1:11" x14ac:dyDescent="0.25">
      <c r="A70" s="389"/>
      <c r="B70" s="750"/>
      <c r="C70" s="751"/>
      <c r="D70" s="740" t="s">
        <v>174</v>
      </c>
      <c r="E70" s="741"/>
      <c r="F70" s="741"/>
      <c r="G70" s="736"/>
      <c r="H70" s="737"/>
      <c r="I70" s="737"/>
      <c r="J70" s="737"/>
      <c r="K70" s="737"/>
    </row>
    <row r="71" spans="1:11" ht="23.25" customHeight="1" x14ac:dyDescent="0.25">
      <c r="A71" s="389"/>
      <c r="B71" s="750"/>
      <c r="C71" s="751"/>
      <c r="D71" s="740" t="s">
        <v>175</v>
      </c>
      <c r="E71" s="741"/>
      <c r="F71" s="741"/>
      <c r="G71" s="736"/>
      <c r="H71" s="737"/>
      <c r="I71" s="737"/>
      <c r="J71" s="737"/>
      <c r="K71" s="737"/>
    </row>
    <row r="72" spans="1:11" x14ac:dyDescent="0.25">
      <c r="A72" s="389"/>
      <c r="B72" s="750"/>
      <c r="C72" s="751"/>
      <c r="D72" s="740" t="s">
        <v>1316</v>
      </c>
      <c r="E72" s="741"/>
      <c r="F72" s="741"/>
      <c r="G72" s="736"/>
      <c r="H72" s="737"/>
      <c r="I72" s="737"/>
      <c r="J72" s="737"/>
      <c r="K72" s="737"/>
    </row>
    <row r="73" spans="1:11" x14ac:dyDescent="0.25">
      <c r="A73" s="389"/>
      <c r="B73" s="750"/>
      <c r="C73" s="751"/>
      <c r="D73" s="740" t="s">
        <v>1318</v>
      </c>
      <c r="E73" s="741"/>
      <c r="F73" s="741"/>
      <c r="G73" s="736"/>
      <c r="H73" s="737"/>
      <c r="I73" s="737"/>
      <c r="J73" s="737"/>
      <c r="K73" s="737"/>
    </row>
    <row r="74" spans="1:11" x14ac:dyDescent="0.25">
      <c r="A74" s="389"/>
      <c r="B74" s="750"/>
      <c r="C74" s="751"/>
      <c r="D74" s="740" t="s">
        <v>176</v>
      </c>
      <c r="E74" s="741"/>
      <c r="F74" s="741"/>
      <c r="G74" s="736"/>
      <c r="H74" s="737"/>
      <c r="I74" s="737"/>
      <c r="J74" s="737"/>
      <c r="K74" s="737"/>
    </row>
    <row r="75" spans="1:11" ht="15.75" thickBot="1" x14ac:dyDescent="0.3">
      <c r="A75" s="389"/>
      <c r="B75" s="752"/>
      <c r="C75" s="753"/>
      <c r="D75" s="742" t="s">
        <v>177</v>
      </c>
      <c r="E75" s="743"/>
      <c r="F75" s="744"/>
      <c r="G75" s="738"/>
      <c r="H75" s="739"/>
      <c r="I75" s="739"/>
      <c r="J75" s="739"/>
      <c r="K75" s="739"/>
    </row>
    <row r="76" spans="1:11" x14ac:dyDescent="0.25">
      <c r="B76" s="50"/>
      <c r="C76" s="37"/>
      <c r="D76" s="37"/>
    </row>
    <row r="77" spans="1:11" x14ac:dyDescent="0.25">
      <c r="B77" s="658"/>
      <c r="C77" s="37"/>
      <c r="D77" s="37"/>
    </row>
    <row r="557" spans="2:19" x14ac:dyDescent="0.25">
      <c r="B557" s="730"/>
      <c r="C557" s="730"/>
      <c r="D557" s="730"/>
      <c r="E557" s="730"/>
      <c r="F557" s="730"/>
      <c r="G557" s="730"/>
    </row>
    <row r="558" spans="2:19" x14ac:dyDescent="0.25">
      <c r="B558" s="630"/>
      <c r="C558" s="630"/>
      <c r="D558" s="630"/>
      <c r="E558" s="631"/>
      <c r="F558" s="631"/>
      <c r="G558" s="631"/>
    </row>
    <row r="559" spans="2:19" x14ac:dyDescent="0.25">
      <c r="J559" s="539"/>
      <c r="K559" s="539"/>
      <c r="L559" s="539"/>
      <c r="M559" s="539"/>
      <c r="N559" s="539"/>
      <c r="O559" s="539"/>
      <c r="P559" s="539"/>
      <c r="Q559" s="539"/>
      <c r="R559" s="539"/>
      <c r="S559" s="539"/>
    </row>
    <row r="560" spans="2:19" x14ac:dyDescent="0.25">
      <c r="J560" s="539"/>
      <c r="K560" s="539"/>
      <c r="L560" s="539"/>
      <c r="M560" s="539"/>
      <c r="N560" s="539"/>
      <c r="O560" s="539"/>
      <c r="P560" s="539"/>
      <c r="Q560" s="539"/>
      <c r="R560" s="539"/>
      <c r="S560" s="539"/>
    </row>
    <row r="561" spans="2:19" x14ac:dyDescent="0.25">
      <c r="J561" s="539"/>
      <c r="K561" s="539"/>
      <c r="L561" s="539"/>
      <c r="M561" s="539"/>
      <c r="N561" s="539"/>
      <c r="O561" s="539"/>
      <c r="P561" s="539"/>
      <c r="Q561" s="539"/>
      <c r="R561" s="539"/>
      <c r="S561" s="539"/>
    </row>
    <row r="565" spans="2:19" ht="28.5" customHeight="1" x14ac:dyDescent="0.25"/>
    <row r="568" spans="2:19" ht="15.75" thickBot="1" x14ac:dyDescent="0.3">
      <c r="B568" s="625"/>
      <c r="C568" s="625"/>
      <c r="D568" s="625"/>
    </row>
    <row r="569" spans="2:19" ht="15.75" thickBot="1" x14ac:dyDescent="0.3">
      <c r="B569" s="625"/>
      <c r="C569" s="625"/>
      <c r="D569" s="625"/>
    </row>
    <row r="570" spans="2:19" ht="15.75" thickBot="1" x14ac:dyDescent="0.3">
      <c r="B570" s="625"/>
      <c r="C570" s="625"/>
      <c r="D570" s="625"/>
    </row>
    <row r="571" spans="2:19" ht="15.75" thickBot="1" x14ac:dyDescent="0.3">
      <c r="B571" s="625"/>
      <c r="C571" s="625"/>
      <c r="D571" s="625"/>
    </row>
    <row r="572" spans="2:19" ht="15.75" thickBot="1" x14ac:dyDescent="0.3">
      <c r="B572" s="625"/>
      <c r="C572" s="625"/>
      <c r="D572" s="625"/>
    </row>
    <row r="573" spans="2:19" ht="15.75" thickBot="1" x14ac:dyDescent="0.3">
      <c r="B573" s="625"/>
      <c r="C573" s="625"/>
      <c r="D573" s="625"/>
    </row>
    <row r="574" spans="2:19" ht="15.75" thickBot="1" x14ac:dyDescent="0.3">
      <c r="B574" s="625"/>
      <c r="C574" s="625"/>
      <c r="D574" s="625"/>
    </row>
    <row r="575" spans="2:19" ht="15.75" thickBot="1" x14ac:dyDescent="0.3">
      <c r="B575" s="625"/>
      <c r="C575" s="625"/>
      <c r="D575" s="625"/>
    </row>
    <row r="576" spans="2:19" ht="27" customHeight="1" thickBot="1" x14ac:dyDescent="0.3">
      <c r="B576" s="625"/>
      <c r="C576" s="625"/>
      <c r="D576" s="625"/>
    </row>
    <row r="577" spans="2:4" ht="15.75" thickBot="1" x14ac:dyDescent="0.3">
      <c r="B577" s="625"/>
      <c r="C577" s="625"/>
      <c r="D577" s="625"/>
    </row>
    <row r="578" spans="2:4" ht="15.75" thickBot="1" x14ac:dyDescent="0.3">
      <c r="B578" s="625"/>
      <c r="C578" s="625"/>
      <c r="D578" s="625"/>
    </row>
    <row r="579" spans="2:4" ht="15.75" thickBot="1" x14ac:dyDescent="0.3">
      <c r="B579" s="625"/>
      <c r="C579" s="625"/>
      <c r="D579" s="625"/>
    </row>
    <row r="580" spans="2:4" ht="24" customHeight="1" thickBot="1" x14ac:dyDescent="0.3">
      <c r="B580" s="625"/>
      <c r="C580" s="625"/>
      <c r="D580" s="625"/>
    </row>
    <row r="581" spans="2:4" ht="15.75" thickBot="1" x14ac:dyDescent="0.3">
      <c r="B581" s="625"/>
      <c r="C581" s="625"/>
      <c r="D581" s="625"/>
    </row>
    <row r="582" spans="2:4" ht="25.5" customHeight="1" thickBot="1" x14ac:dyDescent="0.3">
      <c r="B582" s="625"/>
      <c r="C582" s="625"/>
      <c r="D582" s="625"/>
    </row>
    <row r="583" spans="2:4" ht="22.5" customHeight="1" thickBot="1" x14ac:dyDescent="0.3">
      <c r="B583" s="625"/>
      <c r="C583" s="625"/>
      <c r="D583" s="625"/>
    </row>
    <row r="584" spans="2:4" ht="15.75" thickBot="1" x14ac:dyDescent="0.3">
      <c r="B584" s="625"/>
      <c r="C584" s="625"/>
      <c r="D584" s="625"/>
    </row>
    <row r="585" spans="2:4" ht="22.5" customHeight="1" thickBot="1" x14ac:dyDescent="0.3">
      <c r="B585" s="625"/>
      <c r="C585" s="625"/>
      <c r="D585" s="625"/>
    </row>
    <row r="586" spans="2:4" ht="15.75" thickBot="1" x14ac:dyDescent="0.3">
      <c r="B586" s="625"/>
      <c r="C586" s="625"/>
      <c r="D586" s="625"/>
    </row>
    <row r="587" spans="2:4" ht="15.75" thickBot="1" x14ac:dyDescent="0.3">
      <c r="B587" s="625"/>
      <c r="C587" s="625"/>
      <c r="D587" s="625"/>
    </row>
    <row r="588" spans="2:4" ht="15.75" thickBot="1" x14ac:dyDescent="0.3">
      <c r="B588" s="625"/>
      <c r="C588" s="625"/>
      <c r="D588" s="625"/>
    </row>
    <row r="589" spans="2:4" ht="25.5" customHeight="1" thickBot="1" x14ac:dyDescent="0.3">
      <c r="B589" s="625"/>
      <c r="C589" s="625"/>
      <c r="D589" s="625"/>
    </row>
    <row r="590" spans="2:4" ht="24" customHeight="1" thickBot="1" x14ac:dyDescent="0.3">
      <c r="B590" s="625"/>
      <c r="C590" s="625"/>
      <c r="D590" s="625"/>
    </row>
    <row r="591" spans="2:4" ht="24.75" customHeight="1" thickBot="1" x14ac:dyDescent="0.3">
      <c r="B591" s="625"/>
      <c r="C591" s="625"/>
      <c r="D591" s="625"/>
    </row>
    <row r="592" spans="2:4" ht="23.25" customHeight="1" thickBot="1" x14ac:dyDescent="0.3">
      <c r="B592" s="625"/>
      <c r="C592" s="625"/>
      <c r="D592" s="625"/>
    </row>
    <row r="593" spans="2:15" ht="23.25" customHeight="1" thickBot="1" x14ac:dyDescent="0.3">
      <c r="B593" s="625"/>
      <c r="C593" s="625"/>
      <c r="D593" s="625"/>
    </row>
    <row r="594" spans="2:15" ht="15.75" thickBot="1" x14ac:dyDescent="0.3">
      <c r="B594" s="625"/>
      <c r="C594" s="625"/>
      <c r="D594" s="625"/>
    </row>
    <row r="595" spans="2:15" ht="15.75" thickBot="1" x14ac:dyDescent="0.3">
      <c r="B595" s="627"/>
      <c r="C595" s="627"/>
      <c r="D595" s="627"/>
      <c r="E595" s="627"/>
      <c r="F595" s="627"/>
      <c r="G595" s="627"/>
    </row>
    <row r="597" spans="2:15" x14ac:dyDescent="0.25">
      <c r="B597" s="730"/>
      <c r="C597" s="730"/>
      <c r="D597" s="730"/>
      <c r="E597" s="730"/>
      <c r="F597" s="730"/>
      <c r="G597" s="730"/>
    </row>
    <row r="598" spans="2:15" x14ac:dyDescent="0.25">
      <c r="B598" s="630"/>
      <c r="C598" s="630"/>
      <c r="D598" s="630"/>
      <c r="E598" s="631"/>
      <c r="F598" s="631"/>
      <c r="G598" s="631"/>
    </row>
    <row r="599" spans="2:15" x14ac:dyDescent="0.25">
      <c r="B599" s="398"/>
      <c r="C599" s="398"/>
      <c r="D599" s="398"/>
      <c r="E599" s="398"/>
      <c r="F599" s="398"/>
      <c r="G599" s="398"/>
      <c r="K599" s="398"/>
      <c r="L599" s="398"/>
      <c r="M599" s="398"/>
      <c r="N599" s="398"/>
      <c r="O599" s="398"/>
    </row>
    <row r="600" spans="2:15" x14ac:dyDescent="0.25">
      <c r="B600" s="398"/>
      <c r="C600" s="398"/>
      <c r="D600" s="398"/>
      <c r="E600" s="398"/>
      <c r="F600" s="398"/>
      <c r="G600" s="398"/>
      <c r="K600" s="398"/>
      <c r="L600" s="398"/>
      <c r="M600" s="398"/>
      <c r="N600" s="398"/>
      <c r="O600" s="398"/>
    </row>
    <row r="601" spans="2:15" x14ac:dyDescent="0.25">
      <c r="B601" s="398"/>
      <c r="C601" s="398"/>
      <c r="D601" s="398"/>
      <c r="E601" s="398"/>
      <c r="F601" s="398"/>
      <c r="G601" s="398"/>
    </row>
    <row r="602" spans="2:15" x14ac:dyDescent="0.25">
      <c r="B602" s="398"/>
      <c r="C602" s="398"/>
      <c r="D602" s="398"/>
      <c r="E602" s="398"/>
      <c r="F602" s="398"/>
      <c r="G602" s="398"/>
    </row>
    <row r="603" spans="2:15" x14ac:dyDescent="0.25">
      <c r="B603" s="398"/>
      <c r="C603" s="398"/>
      <c r="D603" s="398"/>
      <c r="E603" s="398"/>
      <c r="F603" s="398"/>
      <c r="G603" s="398"/>
    </row>
    <row r="604" spans="2:15" x14ac:dyDescent="0.25">
      <c r="B604" s="398"/>
      <c r="C604" s="398"/>
      <c r="D604" s="398"/>
      <c r="E604" s="398"/>
      <c r="F604" s="398"/>
      <c r="G604" s="398"/>
    </row>
    <row r="605" spans="2:15" ht="21" customHeight="1" x14ac:dyDescent="0.25">
      <c r="B605" s="398"/>
      <c r="C605" s="398"/>
      <c r="D605" s="398"/>
      <c r="E605" s="398"/>
      <c r="F605" s="398"/>
      <c r="G605" s="398"/>
    </row>
    <row r="606" spans="2:15" ht="27.75" customHeight="1" x14ac:dyDescent="0.25">
      <c r="B606" s="398"/>
      <c r="C606" s="398"/>
      <c r="D606" s="398"/>
      <c r="E606" s="398"/>
      <c r="F606" s="398"/>
      <c r="G606" s="398"/>
    </row>
    <row r="607" spans="2:15" ht="23.25" customHeight="1" x14ac:dyDescent="0.25">
      <c r="B607" s="398"/>
      <c r="C607" s="398"/>
      <c r="D607" s="398"/>
      <c r="E607" s="398"/>
      <c r="F607" s="398"/>
      <c r="G607" s="398"/>
    </row>
    <row r="608" spans="2:15" x14ac:dyDescent="0.25">
      <c r="B608" s="398"/>
      <c r="C608" s="398"/>
      <c r="D608" s="398"/>
      <c r="E608" s="398"/>
      <c r="F608" s="398"/>
      <c r="G608" s="398"/>
    </row>
    <row r="609" spans="2:7" x14ac:dyDescent="0.25">
      <c r="B609" s="398"/>
      <c r="C609" s="398"/>
      <c r="D609" s="398"/>
      <c r="E609" s="398"/>
      <c r="F609" s="398"/>
      <c r="G609" s="398"/>
    </row>
    <row r="610" spans="2:7" x14ac:dyDescent="0.25">
      <c r="B610" s="398"/>
      <c r="C610" s="398"/>
      <c r="D610" s="398"/>
      <c r="E610" s="398"/>
      <c r="F610" s="398"/>
      <c r="G610" s="398"/>
    </row>
    <row r="611" spans="2:7" x14ac:dyDescent="0.25">
      <c r="B611" s="398"/>
      <c r="C611" s="398"/>
      <c r="D611" s="398"/>
      <c r="E611" s="398"/>
      <c r="F611" s="398"/>
      <c r="G611" s="398"/>
    </row>
    <row r="612" spans="2:7" x14ac:dyDescent="0.25">
      <c r="B612" s="398"/>
      <c r="C612" s="398"/>
      <c r="D612" s="398"/>
      <c r="E612" s="398"/>
      <c r="F612" s="398"/>
      <c r="G612" s="398"/>
    </row>
    <row r="613" spans="2:7" ht="22.5" customHeight="1" x14ac:dyDescent="0.25">
      <c r="B613" s="398"/>
      <c r="C613" s="398"/>
      <c r="D613" s="398"/>
      <c r="E613" s="398"/>
      <c r="F613" s="398"/>
      <c r="G613" s="398"/>
    </row>
    <row r="614" spans="2:7" x14ac:dyDescent="0.25">
      <c r="B614" s="398"/>
      <c r="C614" s="398"/>
      <c r="D614" s="398"/>
      <c r="E614" s="398"/>
      <c r="F614" s="398"/>
      <c r="G614" s="398"/>
    </row>
    <row r="615" spans="2:7" ht="25.5" customHeight="1" x14ac:dyDescent="0.25">
      <c r="B615" s="398"/>
      <c r="C615" s="398"/>
      <c r="D615" s="398"/>
      <c r="E615" s="398"/>
      <c r="F615" s="398"/>
      <c r="G615" s="398"/>
    </row>
    <row r="616" spans="2:7" x14ac:dyDescent="0.25">
      <c r="B616" s="398"/>
      <c r="C616" s="398"/>
      <c r="D616" s="398"/>
      <c r="E616" s="398"/>
      <c r="F616" s="398"/>
      <c r="G616" s="398"/>
    </row>
    <row r="617" spans="2:7" x14ac:dyDescent="0.25">
      <c r="B617" s="398"/>
      <c r="C617" s="398"/>
      <c r="D617" s="398"/>
      <c r="E617" s="398"/>
      <c r="F617" s="398"/>
      <c r="G617" s="398"/>
    </row>
    <row r="618" spans="2:7" ht="24" customHeight="1" x14ac:dyDescent="0.25">
      <c r="B618" s="398"/>
      <c r="C618" s="398"/>
      <c r="D618" s="398"/>
      <c r="E618" s="398"/>
      <c r="F618" s="398"/>
      <c r="G618" s="398"/>
    </row>
    <row r="619" spans="2:7" x14ac:dyDescent="0.25">
      <c r="B619" s="398"/>
      <c r="C619" s="398"/>
      <c r="D619" s="398"/>
      <c r="E619" s="398"/>
      <c r="F619" s="398"/>
      <c r="G619" s="398"/>
    </row>
    <row r="620" spans="2:7" x14ac:dyDescent="0.25">
      <c r="B620" s="398"/>
      <c r="C620" s="398"/>
      <c r="D620" s="398"/>
      <c r="E620" s="398"/>
      <c r="F620" s="398"/>
      <c r="G620" s="398"/>
    </row>
    <row r="621" spans="2:7" x14ac:dyDescent="0.25">
      <c r="B621" s="398"/>
      <c r="C621" s="398"/>
      <c r="D621" s="398"/>
      <c r="E621" s="398"/>
      <c r="F621" s="398"/>
      <c r="G621" s="398"/>
    </row>
    <row r="622" spans="2:7" ht="26.25" customHeight="1" x14ac:dyDescent="0.25">
      <c r="B622" s="398"/>
      <c r="C622" s="398"/>
      <c r="D622" s="398"/>
      <c r="E622" s="398"/>
      <c r="F622" s="398"/>
      <c r="G622" s="398"/>
    </row>
    <row r="623" spans="2:7" ht="22.5" customHeight="1" x14ac:dyDescent="0.25">
      <c r="B623" s="398"/>
      <c r="C623" s="398"/>
      <c r="D623" s="398"/>
      <c r="E623" s="398"/>
      <c r="F623" s="398"/>
      <c r="G623" s="398"/>
    </row>
    <row r="624" spans="2:7" x14ac:dyDescent="0.25">
      <c r="B624" s="398"/>
      <c r="C624" s="398"/>
      <c r="D624" s="398"/>
      <c r="E624" s="398"/>
      <c r="F624" s="398"/>
      <c r="G624" s="398"/>
    </row>
    <row r="625" spans="2:7" ht="22.5" customHeight="1" x14ac:dyDescent="0.25">
      <c r="B625" s="398"/>
      <c r="C625" s="398"/>
      <c r="D625" s="398"/>
      <c r="E625" s="398"/>
      <c r="F625" s="398"/>
      <c r="G625" s="398"/>
    </row>
    <row r="626" spans="2:7" x14ac:dyDescent="0.25">
      <c r="B626" s="398"/>
      <c r="C626" s="398"/>
      <c r="D626" s="398"/>
      <c r="E626" s="398"/>
      <c r="F626" s="398"/>
      <c r="G626" s="398"/>
    </row>
    <row r="627" spans="2:7" x14ac:dyDescent="0.25">
      <c r="B627" s="398"/>
      <c r="C627" s="398"/>
      <c r="D627" s="398"/>
      <c r="E627" s="398"/>
      <c r="F627" s="398"/>
      <c r="G627" s="398"/>
    </row>
    <row r="628" spans="2:7" ht="26.25" customHeight="1" x14ac:dyDescent="0.25">
      <c r="B628" s="398"/>
      <c r="C628" s="398"/>
      <c r="D628" s="398"/>
      <c r="E628" s="398"/>
      <c r="F628" s="398"/>
      <c r="G628" s="398"/>
    </row>
    <row r="629" spans="2:7" ht="26.25" customHeight="1" x14ac:dyDescent="0.25">
      <c r="B629" s="398"/>
      <c r="C629" s="398"/>
      <c r="D629" s="398"/>
      <c r="E629" s="398"/>
      <c r="F629" s="398"/>
      <c r="G629" s="398"/>
    </row>
    <row r="630" spans="2:7" x14ac:dyDescent="0.25">
      <c r="B630" s="398"/>
      <c r="C630" s="398"/>
      <c r="D630" s="398"/>
      <c r="E630" s="398"/>
      <c r="F630" s="398"/>
      <c r="G630" s="398"/>
    </row>
    <row r="631" spans="2:7" x14ac:dyDescent="0.25">
      <c r="B631" s="398"/>
      <c r="C631" s="398"/>
      <c r="D631" s="398"/>
      <c r="E631" s="398"/>
      <c r="F631" s="398"/>
      <c r="G631" s="398"/>
    </row>
    <row r="632" spans="2:7" ht="24" customHeight="1" x14ac:dyDescent="0.25">
      <c r="B632" s="398"/>
      <c r="C632" s="398"/>
      <c r="D632" s="398"/>
      <c r="E632" s="398"/>
      <c r="F632" s="398"/>
      <c r="G632" s="398"/>
    </row>
    <row r="633" spans="2:7" x14ac:dyDescent="0.25">
      <c r="B633" s="398"/>
      <c r="C633" s="398"/>
      <c r="D633" s="398"/>
      <c r="E633" s="398"/>
      <c r="F633" s="398"/>
      <c r="G633" s="398"/>
    </row>
    <row r="634" spans="2:7" ht="22.5" customHeight="1" x14ac:dyDescent="0.25">
      <c r="B634" s="398"/>
      <c r="C634" s="398"/>
      <c r="D634" s="398"/>
      <c r="E634" s="398"/>
      <c r="F634" s="398"/>
      <c r="G634" s="398"/>
    </row>
    <row r="635" spans="2:7" x14ac:dyDescent="0.25">
      <c r="B635" s="398"/>
      <c r="C635" s="398"/>
      <c r="D635" s="398"/>
      <c r="E635" s="398"/>
      <c r="F635" s="398"/>
      <c r="G635" s="398"/>
    </row>
    <row r="636" spans="2:7" x14ac:dyDescent="0.25">
      <c r="B636" s="398"/>
      <c r="C636" s="398"/>
      <c r="D636" s="398"/>
      <c r="E636" s="398"/>
      <c r="F636" s="398"/>
      <c r="G636" s="398"/>
    </row>
    <row r="637" spans="2:7" x14ac:dyDescent="0.25">
      <c r="B637" s="398"/>
      <c r="C637" s="398"/>
      <c r="D637" s="398"/>
      <c r="E637" s="398"/>
      <c r="F637" s="398"/>
      <c r="G637" s="398"/>
    </row>
    <row r="638" spans="2:7" x14ac:dyDescent="0.25">
      <c r="B638" s="398"/>
      <c r="C638" s="398"/>
      <c r="D638" s="398"/>
      <c r="E638" s="398"/>
      <c r="F638" s="398"/>
      <c r="G638" s="398"/>
    </row>
    <row r="639" spans="2:7" x14ac:dyDescent="0.25">
      <c r="B639" s="398"/>
      <c r="C639" s="398"/>
      <c r="D639" s="398"/>
      <c r="E639" s="398"/>
      <c r="F639" s="398"/>
      <c r="G639" s="398"/>
    </row>
    <row r="640" spans="2:7" x14ac:dyDescent="0.25">
      <c r="B640" s="398"/>
      <c r="C640" s="398"/>
      <c r="D640" s="398"/>
      <c r="E640" s="398"/>
      <c r="F640" s="398"/>
      <c r="G640" s="398"/>
    </row>
    <row r="641" spans="2:7" x14ac:dyDescent="0.25">
      <c r="B641" s="398"/>
      <c r="C641" s="398"/>
      <c r="D641" s="398"/>
      <c r="E641" s="398"/>
      <c r="F641" s="398"/>
      <c r="G641" s="398"/>
    </row>
    <row r="642" spans="2:7" x14ac:dyDescent="0.25">
      <c r="B642" s="398"/>
      <c r="C642" s="398"/>
      <c r="D642" s="398"/>
      <c r="E642" s="398"/>
      <c r="F642" s="398"/>
      <c r="G642" s="398"/>
    </row>
    <row r="643" spans="2:7" x14ac:dyDescent="0.25">
      <c r="B643" s="398"/>
      <c r="C643" s="398"/>
      <c r="D643" s="398"/>
      <c r="E643" s="398"/>
      <c r="F643" s="398"/>
      <c r="G643" s="398"/>
    </row>
    <row r="644" spans="2:7" x14ac:dyDescent="0.25">
      <c r="B644" s="398"/>
      <c r="C644" s="398"/>
      <c r="D644" s="398"/>
      <c r="E644" s="398"/>
      <c r="F644" s="398"/>
      <c r="G644" s="398"/>
    </row>
    <row r="645" spans="2:7" x14ac:dyDescent="0.25">
      <c r="B645" s="398"/>
      <c r="C645" s="398"/>
      <c r="D645" s="398"/>
      <c r="E645" s="398"/>
      <c r="F645" s="398"/>
      <c r="G645" s="398"/>
    </row>
    <row r="646" spans="2:7" x14ac:dyDescent="0.25">
      <c r="B646" s="398"/>
      <c r="C646" s="398"/>
      <c r="D646" s="398"/>
      <c r="E646" s="398"/>
      <c r="F646" s="398"/>
      <c r="G646" s="398"/>
    </row>
    <row r="647" spans="2:7" ht="23.25" customHeight="1" x14ac:dyDescent="0.25">
      <c r="B647" s="398"/>
      <c r="C647" s="398"/>
      <c r="D647" s="398"/>
      <c r="E647" s="398"/>
      <c r="F647" s="398"/>
      <c r="G647" s="398"/>
    </row>
    <row r="648" spans="2:7" x14ac:dyDescent="0.25">
      <c r="B648" s="398"/>
      <c r="C648" s="398"/>
      <c r="D648" s="398"/>
      <c r="E648" s="398"/>
      <c r="F648" s="398"/>
      <c r="G648" s="398"/>
    </row>
    <row r="649" spans="2:7" x14ac:dyDescent="0.25">
      <c r="B649" s="398"/>
      <c r="C649" s="398"/>
      <c r="D649" s="398"/>
      <c r="E649" s="398"/>
      <c r="F649" s="398"/>
      <c r="G649" s="398"/>
    </row>
    <row r="650" spans="2:7" ht="24" customHeight="1" x14ac:dyDescent="0.25">
      <c r="B650" s="398"/>
      <c r="C650" s="398"/>
      <c r="D650" s="398"/>
      <c r="E650" s="398"/>
      <c r="F650" s="398"/>
      <c r="G650" s="398"/>
    </row>
    <row r="651" spans="2:7" x14ac:dyDescent="0.25">
      <c r="B651" s="398"/>
      <c r="C651" s="398"/>
      <c r="D651" s="398"/>
      <c r="E651" s="398"/>
      <c r="F651" s="398"/>
      <c r="G651" s="398"/>
    </row>
    <row r="652" spans="2:7" ht="15.75" thickBot="1" x14ac:dyDescent="0.3">
      <c r="B652" s="627"/>
      <c r="C652" s="627"/>
      <c r="D652" s="627"/>
      <c r="E652" s="627"/>
      <c r="F652" s="627"/>
      <c r="G652" s="627"/>
    </row>
    <row r="653" spans="2:7" x14ac:dyDescent="0.25">
      <c r="B653" s="731"/>
      <c r="C653" s="731"/>
      <c r="F653" s="398"/>
    </row>
    <row r="654" spans="2:7" x14ac:dyDescent="0.25">
      <c r="F654" s="398"/>
    </row>
    <row r="655" spans="2:7" x14ac:dyDescent="0.25">
      <c r="F655" s="398"/>
    </row>
    <row r="656" spans="2:7" x14ac:dyDescent="0.25">
      <c r="F656" s="398"/>
    </row>
    <row r="660" spans="2:25" x14ac:dyDescent="0.25">
      <c r="B660" s="726"/>
      <c r="C660" s="726"/>
      <c r="D660" s="631"/>
      <c r="E660" s="631"/>
      <c r="F660" s="631"/>
      <c r="G660" s="631"/>
      <c r="H660" s="631"/>
      <c r="I660" s="631"/>
      <c r="J660" s="631"/>
      <c r="K660" s="631"/>
      <c r="L660" s="631"/>
      <c r="M660" s="631"/>
    </row>
    <row r="661" spans="2:25" x14ac:dyDescent="0.25">
      <c r="B661" s="683"/>
      <c r="C661" s="683"/>
      <c r="D661" s="728"/>
      <c r="E661" s="728"/>
      <c r="F661" s="398"/>
      <c r="G661" s="398"/>
      <c r="H661" s="398"/>
      <c r="I661" s="398"/>
      <c r="J661" s="398"/>
      <c r="K661" s="633"/>
      <c r="L661" s="398"/>
      <c r="M661" s="639"/>
      <c r="U661" s="398"/>
      <c r="V661" s="398"/>
      <c r="W661" s="398"/>
      <c r="X661" s="398"/>
      <c r="Y661" s="398"/>
    </row>
    <row r="662" spans="2:25" ht="27" customHeight="1" x14ac:dyDescent="0.25">
      <c r="B662" s="683"/>
      <c r="C662" s="683"/>
      <c r="D662" s="728"/>
      <c r="E662" s="728"/>
      <c r="F662" s="18"/>
      <c r="G662" s="18"/>
      <c r="H662" s="18"/>
      <c r="I662" s="18"/>
      <c r="J662" s="18"/>
      <c r="K662" s="18"/>
      <c r="L662" s="18"/>
      <c r="M662" s="640"/>
      <c r="U662" s="398"/>
      <c r="V662" s="398"/>
      <c r="W662" s="398"/>
      <c r="X662" s="398"/>
      <c r="Y662" s="398"/>
    </row>
    <row r="663" spans="2:25" ht="26.25" customHeight="1" x14ac:dyDescent="0.25">
      <c r="B663" s="683"/>
      <c r="C663" s="683"/>
      <c r="D663" s="728"/>
      <c r="E663" s="728"/>
      <c r="F663" s="18"/>
      <c r="G663" s="18"/>
      <c r="H663" s="18"/>
      <c r="I663" s="18"/>
      <c r="J663" s="18"/>
      <c r="K663" s="18"/>
      <c r="L663" s="18"/>
      <c r="M663" s="640"/>
      <c r="U663" s="398"/>
      <c r="V663" s="398"/>
      <c r="W663" s="398"/>
      <c r="X663" s="398"/>
      <c r="Y663" s="398"/>
    </row>
    <row r="664" spans="2:25" ht="19.5" customHeight="1" x14ac:dyDescent="0.25">
      <c r="B664" s="683"/>
      <c r="C664" s="683"/>
      <c r="D664" s="728"/>
      <c r="E664" s="728"/>
      <c r="F664" s="18"/>
      <c r="G664" s="18"/>
      <c r="H664" s="18"/>
      <c r="I664" s="18"/>
      <c r="J664" s="18"/>
      <c r="K664" s="18"/>
      <c r="L664" s="18"/>
      <c r="M664" s="640"/>
      <c r="U664" s="398"/>
      <c r="V664" s="398"/>
      <c r="W664" s="398"/>
      <c r="X664" s="398"/>
      <c r="Y664" s="398"/>
    </row>
    <row r="665" spans="2:25" ht="25.5" customHeight="1" x14ac:dyDescent="0.25">
      <c r="B665" s="683"/>
      <c r="C665" s="683"/>
      <c r="D665" s="728"/>
      <c r="E665" s="728"/>
      <c r="F665" s="18"/>
      <c r="G665" s="18"/>
      <c r="H665" s="18"/>
      <c r="I665" s="18"/>
      <c r="J665" s="18"/>
      <c r="K665" s="18"/>
      <c r="L665" s="18"/>
      <c r="M665" s="640"/>
      <c r="U665" s="398"/>
      <c r="V665" s="398"/>
      <c r="W665" s="398"/>
      <c r="X665" s="398"/>
      <c r="Y665" s="398"/>
    </row>
    <row r="666" spans="2:25" ht="18" customHeight="1" x14ac:dyDescent="0.25">
      <c r="B666" s="683"/>
      <c r="C666" s="683"/>
      <c r="D666" s="728"/>
      <c r="E666" s="728"/>
      <c r="F666" s="18"/>
      <c r="G666" s="18"/>
      <c r="H666" s="18"/>
      <c r="I666" s="18"/>
      <c r="J666" s="18"/>
      <c r="K666" s="18"/>
      <c r="L666" s="18"/>
      <c r="M666" s="640"/>
      <c r="U666" s="398"/>
      <c r="V666" s="398"/>
      <c r="W666" s="398"/>
      <c r="X666" s="398"/>
      <c r="Y666" s="398"/>
    </row>
    <row r="667" spans="2:25" ht="18.75" customHeight="1" x14ac:dyDescent="0.25">
      <c r="B667" s="683"/>
      <c r="C667" s="683"/>
      <c r="D667" s="728"/>
      <c r="E667" s="728"/>
      <c r="F667" s="18"/>
      <c r="G667" s="18"/>
      <c r="H667" s="18"/>
      <c r="I667" s="18"/>
      <c r="J667" s="18"/>
      <c r="K667" s="18"/>
      <c r="L667" s="18"/>
      <c r="M667" s="640"/>
      <c r="U667" s="398"/>
      <c r="V667" s="398"/>
      <c r="W667" s="398"/>
      <c r="X667" s="398"/>
      <c r="Y667" s="398"/>
    </row>
    <row r="668" spans="2:25" ht="27.75" customHeight="1" x14ac:dyDescent="0.25">
      <c r="B668" s="683"/>
      <c r="C668" s="683"/>
      <c r="D668" s="728"/>
      <c r="E668" s="728"/>
      <c r="F668" s="18"/>
      <c r="G668" s="18"/>
      <c r="H668" s="18"/>
      <c r="I668" s="18"/>
      <c r="J668" s="18"/>
      <c r="K668" s="18"/>
      <c r="L668" s="18"/>
      <c r="M668" s="640"/>
      <c r="U668" s="398"/>
      <c r="V668" s="398"/>
      <c r="W668" s="398"/>
      <c r="X668" s="398"/>
      <c r="Y668" s="398"/>
    </row>
    <row r="669" spans="2:25" ht="18.75" customHeight="1" x14ac:dyDescent="0.25">
      <c r="B669" s="683"/>
      <c r="C669" s="683"/>
      <c r="D669" s="728"/>
      <c r="E669" s="728"/>
      <c r="F669" s="18"/>
      <c r="G669" s="18"/>
      <c r="H669" s="18"/>
      <c r="I669" s="18"/>
      <c r="J669" s="18"/>
      <c r="K669" s="18"/>
      <c r="L669" s="18"/>
      <c r="M669" s="640"/>
      <c r="U669" s="398"/>
      <c r="V669" s="398"/>
      <c r="W669" s="398"/>
      <c r="X669" s="398"/>
      <c r="Y669" s="398"/>
    </row>
    <row r="670" spans="2:25" ht="30" customHeight="1" thickBot="1" x14ac:dyDescent="0.3">
      <c r="B670" s="683"/>
      <c r="C670" s="683"/>
      <c r="D670" s="729"/>
      <c r="E670" s="729"/>
      <c r="F670" s="627"/>
      <c r="G670" s="627"/>
      <c r="H670" s="627"/>
      <c r="I670" s="627"/>
      <c r="J670" s="627"/>
      <c r="K670" s="635"/>
      <c r="L670" s="627"/>
      <c r="M670" s="641"/>
      <c r="U670" s="398"/>
      <c r="V670" s="398"/>
      <c r="W670" s="398"/>
      <c r="X670" s="398"/>
      <c r="Y670" s="398"/>
    </row>
    <row r="672" spans="2:25" x14ac:dyDescent="0.25">
      <c r="B672" s="726"/>
      <c r="C672" s="726"/>
      <c r="D672" s="631"/>
      <c r="E672" s="631"/>
      <c r="F672" s="631"/>
      <c r="G672" s="631"/>
      <c r="H672" s="631"/>
      <c r="I672" s="631"/>
      <c r="J672" s="631"/>
      <c r="K672" s="631"/>
      <c r="L672" s="631"/>
      <c r="M672" s="631"/>
    </row>
    <row r="673" spans="2:25" ht="18.75" customHeight="1" x14ac:dyDescent="0.25">
      <c r="B673" s="683"/>
      <c r="C673" s="683"/>
      <c r="D673" s="728"/>
      <c r="E673" s="728"/>
      <c r="F673" s="398"/>
      <c r="G673" s="398"/>
      <c r="H673" s="398"/>
      <c r="I673" s="398"/>
      <c r="J673" s="398"/>
      <c r="K673" s="633"/>
      <c r="L673" s="398"/>
      <c r="M673" s="639"/>
    </row>
    <row r="674" spans="2:25" ht="27.75" customHeight="1" x14ac:dyDescent="0.25">
      <c r="B674" s="683"/>
      <c r="C674" s="683"/>
      <c r="D674" s="728"/>
      <c r="E674" s="728"/>
      <c r="F674" s="18"/>
      <c r="G674" s="18"/>
      <c r="H674" s="18"/>
      <c r="I674" s="18"/>
      <c r="J674" s="18"/>
      <c r="K674" s="18"/>
      <c r="L674" s="18"/>
      <c r="M674" s="640"/>
      <c r="T674" s="398"/>
      <c r="U674" s="398"/>
      <c r="V674" s="398"/>
      <c r="W674" s="398"/>
      <c r="X674" s="398"/>
      <c r="Y674" s="398"/>
    </row>
    <row r="675" spans="2:25" ht="29.25" customHeight="1" x14ac:dyDescent="0.25">
      <c r="B675" s="683"/>
      <c r="C675" s="683"/>
      <c r="D675" s="728"/>
      <c r="E675" s="728"/>
      <c r="F675" s="18"/>
      <c r="G675" s="18"/>
      <c r="H675" s="18"/>
      <c r="I675" s="18"/>
      <c r="J675" s="18"/>
      <c r="K675" s="18"/>
      <c r="L675" s="18"/>
      <c r="M675" s="640"/>
      <c r="T675" s="398"/>
      <c r="U675" s="398"/>
      <c r="V675" s="398"/>
      <c r="W675" s="398"/>
      <c r="X675" s="398"/>
      <c r="Y675" s="398"/>
    </row>
    <row r="676" spans="2:25" ht="21" customHeight="1" x14ac:dyDescent="0.25">
      <c r="B676" s="683"/>
      <c r="C676" s="683"/>
      <c r="D676" s="728"/>
      <c r="E676" s="728"/>
      <c r="F676" s="18"/>
      <c r="G676" s="18"/>
      <c r="H676" s="18"/>
      <c r="I676" s="18"/>
      <c r="J676" s="18"/>
      <c r="K676" s="18"/>
      <c r="L676" s="18"/>
      <c r="M676" s="640"/>
      <c r="T676" s="398"/>
      <c r="U676" s="398"/>
      <c r="V676" s="398"/>
      <c r="W676" s="398"/>
      <c r="X676" s="398"/>
      <c r="Y676" s="398"/>
    </row>
    <row r="677" spans="2:25" ht="26.25" customHeight="1" x14ac:dyDescent="0.25">
      <c r="B677" s="683"/>
      <c r="C677" s="683"/>
      <c r="D677" s="728"/>
      <c r="E677" s="728"/>
      <c r="F677" s="18"/>
      <c r="G677" s="18"/>
      <c r="H677" s="18"/>
      <c r="I677" s="18"/>
      <c r="J677" s="18"/>
      <c r="K677" s="18"/>
      <c r="L677" s="18"/>
      <c r="M677" s="640"/>
      <c r="T677" s="398"/>
      <c r="U677" s="398"/>
      <c r="V677" s="398"/>
      <c r="W677" s="398"/>
      <c r="X677" s="398"/>
      <c r="Y677" s="398"/>
    </row>
    <row r="678" spans="2:25" ht="21" customHeight="1" x14ac:dyDescent="0.25">
      <c r="B678" s="683"/>
      <c r="C678" s="683"/>
      <c r="D678" s="728"/>
      <c r="E678" s="728"/>
      <c r="F678" s="18"/>
      <c r="G678" s="18"/>
      <c r="H678" s="18"/>
      <c r="I678" s="18"/>
      <c r="J678" s="18"/>
      <c r="K678" s="18"/>
      <c r="L678" s="18"/>
      <c r="M678" s="640"/>
      <c r="T678" s="398"/>
      <c r="U678" s="398"/>
      <c r="V678" s="398"/>
      <c r="W678" s="398"/>
      <c r="X678" s="398"/>
      <c r="Y678" s="398"/>
    </row>
    <row r="679" spans="2:25" ht="21.75" customHeight="1" x14ac:dyDescent="0.25">
      <c r="B679" s="683"/>
      <c r="C679" s="683"/>
      <c r="D679" s="728"/>
      <c r="E679" s="728"/>
      <c r="F679" s="18"/>
      <c r="G679" s="18"/>
      <c r="H679" s="18"/>
      <c r="I679" s="18"/>
      <c r="J679" s="18"/>
      <c r="K679" s="18"/>
      <c r="L679" s="18"/>
      <c r="M679" s="640"/>
      <c r="T679" s="398"/>
      <c r="U679" s="398"/>
      <c r="V679" s="398"/>
      <c r="W679" s="398"/>
      <c r="X679" s="398"/>
      <c r="Y679" s="398"/>
    </row>
    <row r="680" spans="2:25" ht="25.5" customHeight="1" x14ac:dyDescent="0.25">
      <c r="B680" s="683"/>
      <c r="C680" s="683"/>
      <c r="D680" s="728"/>
      <c r="E680" s="728"/>
      <c r="F680" s="18"/>
      <c r="G680" s="18"/>
      <c r="H680" s="18"/>
      <c r="I680" s="18"/>
      <c r="J680" s="18"/>
      <c r="K680" s="18"/>
      <c r="L680" s="18"/>
      <c r="M680" s="640"/>
      <c r="T680" s="398"/>
      <c r="U680" s="398"/>
      <c r="V680" s="398"/>
      <c r="W680" s="398"/>
      <c r="X680" s="398"/>
      <c r="Y680" s="398"/>
    </row>
    <row r="681" spans="2:25" ht="20.25" customHeight="1" x14ac:dyDescent="0.25">
      <c r="B681" s="683"/>
      <c r="C681" s="683"/>
      <c r="D681" s="728"/>
      <c r="E681" s="728"/>
      <c r="F681" s="18"/>
      <c r="G681" s="18"/>
      <c r="H681" s="18"/>
      <c r="I681" s="18"/>
      <c r="J681" s="18"/>
      <c r="K681" s="18"/>
      <c r="L681" s="18"/>
      <c r="M681" s="640"/>
      <c r="T681" s="398"/>
      <c r="U681" s="398"/>
      <c r="V681" s="398"/>
      <c r="W681" s="398"/>
      <c r="X681" s="398"/>
      <c r="Y681" s="398"/>
    </row>
    <row r="682" spans="2:25" ht="24" customHeight="1" thickBot="1" x14ac:dyDescent="0.3">
      <c r="B682" s="683"/>
      <c r="C682" s="683"/>
      <c r="D682" s="729"/>
      <c r="E682" s="729"/>
      <c r="F682" s="627"/>
      <c r="G682" s="627"/>
      <c r="H682" s="627"/>
      <c r="I682" s="627"/>
      <c r="J682" s="627"/>
      <c r="K682" s="635"/>
      <c r="L682" s="627"/>
      <c r="M682" s="641"/>
      <c r="T682" s="398"/>
      <c r="U682" s="398"/>
      <c r="V682" s="398"/>
      <c r="W682" s="398"/>
      <c r="X682" s="398"/>
      <c r="Y682" s="398"/>
    </row>
    <row r="683" spans="2:25" x14ac:dyDescent="0.25">
      <c r="B683" s="725"/>
      <c r="C683" s="725"/>
      <c r="M683" s="398"/>
      <c r="N683" s="398"/>
      <c r="O683" s="398"/>
      <c r="P683" s="398"/>
      <c r="Q683" s="398"/>
      <c r="R683" s="398"/>
      <c r="S683" s="398"/>
      <c r="T683" s="398"/>
      <c r="U683" s="398"/>
      <c r="V683" s="398"/>
      <c r="W683" s="398"/>
      <c r="X683" s="398"/>
      <c r="Y683" s="398"/>
    </row>
    <row r="699" spans="2:14" x14ac:dyDescent="0.25">
      <c r="B699" s="725"/>
      <c r="C699" s="725"/>
      <c r="D699" s="725"/>
      <c r="E699" s="725"/>
      <c r="F699" s="725"/>
      <c r="G699" s="725"/>
      <c r="H699" s="725"/>
      <c r="I699" s="725"/>
      <c r="J699" s="725"/>
      <c r="K699" s="725"/>
      <c r="L699" s="725"/>
      <c r="M699" s="725"/>
      <c r="N699" s="725"/>
    </row>
    <row r="700" spans="2:14" ht="24.75" customHeight="1" x14ac:dyDescent="0.25">
      <c r="B700" s="389"/>
      <c r="C700" s="726"/>
      <c r="D700" s="726"/>
      <c r="E700" s="726"/>
      <c r="F700" s="726"/>
      <c r="G700" s="726"/>
      <c r="H700" s="727"/>
      <c r="I700" s="726"/>
      <c r="J700" s="726"/>
      <c r="K700" s="726"/>
      <c r="L700" s="726"/>
      <c r="M700" s="726"/>
      <c r="N700" s="726"/>
    </row>
    <row r="701" spans="2:14" ht="29.25" customHeight="1" x14ac:dyDescent="0.25">
      <c r="B701" s="631"/>
      <c r="C701" s="726"/>
      <c r="D701" s="726"/>
      <c r="E701" s="726"/>
      <c r="F701" s="726"/>
      <c r="G701" s="726"/>
      <c r="H701" s="727"/>
      <c r="I701" s="726"/>
      <c r="J701" s="726"/>
      <c r="K701" s="726"/>
      <c r="L701" s="726"/>
      <c r="M701" s="726"/>
      <c r="N701" s="726"/>
    </row>
    <row r="702" spans="2:14" ht="15.75" thickBot="1" x14ac:dyDescent="0.3">
      <c r="B702" s="643"/>
      <c r="C702" s="723"/>
      <c r="D702" s="723"/>
      <c r="E702" s="723"/>
      <c r="F702" s="723"/>
      <c r="G702" s="723"/>
      <c r="H702" s="723"/>
      <c r="I702" s="724"/>
      <c r="J702" s="724"/>
      <c r="K702" s="724"/>
      <c r="L702" s="724"/>
      <c r="M702" s="723"/>
      <c r="N702" s="723"/>
    </row>
    <row r="703" spans="2:14" x14ac:dyDescent="0.25">
      <c r="E703" s="398"/>
      <c r="F703" s="398"/>
      <c r="G703" s="398"/>
      <c r="H703" s="398"/>
      <c r="I703" s="398"/>
      <c r="J703" s="398"/>
    </row>
    <row r="722" spans="2:13" x14ac:dyDescent="0.25">
      <c r="B722" s="725"/>
      <c r="C722" s="725"/>
      <c r="D722" s="725"/>
      <c r="E722" s="725"/>
      <c r="F722" s="725"/>
      <c r="G722" s="725"/>
      <c r="H722" s="725"/>
      <c r="I722" s="725"/>
      <c r="J722" s="725"/>
      <c r="K722" s="725"/>
      <c r="L722" s="725"/>
      <c r="M722" s="725"/>
    </row>
    <row r="723" spans="2:13" x14ac:dyDescent="0.25">
      <c r="B723" s="389"/>
      <c r="C723" s="726"/>
      <c r="D723" s="726"/>
      <c r="E723" s="726"/>
      <c r="F723" s="726"/>
      <c r="G723" s="726"/>
      <c r="H723" s="727"/>
      <c r="I723" s="726"/>
      <c r="J723" s="726"/>
      <c r="K723" s="726"/>
      <c r="L723" s="726"/>
      <c r="M723" s="726"/>
    </row>
    <row r="724" spans="2:13" x14ac:dyDescent="0.25">
      <c r="B724" s="631"/>
      <c r="C724" s="726"/>
      <c r="D724" s="726"/>
      <c r="E724" s="726"/>
      <c r="F724" s="726"/>
      <c r="G724" s="726"/>
      <c r="H724" s="727"/>
      <c r="I724" s="726"/>
      <c r="J724" s="726"/>
      <c r="K724" s="726"/>
      <c r="L724" s="726"/>
      <c r="M724" s="630"/>
    </row>
    <row r="725" spans="2:13" ht="15.75" thickBot="1" x14ac:dyDescent="0.3">
      <c r="B725" s="643"/>
      <c r="C725" s="723"/>
      <c r="D725" s="723"/>
      <c r="E725" s="723"/>
      <c r="F725" s="723"/>
      <c r="G725" s="723"/>
      <c r="H725" s="723"/>
      <c r="I725" s="724"/>
      <c r="J725" s="724"/>
      <c r="K725" s="724"/>
      <c r="L725" s="724"/>
      <c r="M725" s="644"/>
    </row>
    <row r="726" spans="2:13" x14ac:dyDescent="0.25">
      <c r="E726" s="398"/>
      <c r="F726" s="398"/>
      <c r="G726" s="398"/>
      <c r="H726" s="398"/>
      <c r="I726" s="398"/>
      <c r="J726" s="398"/>
      <c r="K726" s="398"/>
    </row>
  </sheetData>
  <mergeCells count="139">
    <mergeCell ref="B67:C75"/>
    <mergeCell ref="B14:C26"/>
    <mergeCell ref="D63:F63"/>
    <mergeCell ref="D61:F61"/>
    <mergeCell ref="D60:F60"/>
    <mergeCell ref="B27:C33"/>
    <mergeCell ref="B34:C36"/>
    <mergeCell ref="B37:C50"/>
    <mergeCell ref="B51:C53"/>
    <mergeCell ref="B54:C58"/>
    <mergeCell ref="B59:C64"/>
    <mergeCell ref="B65:C66"/>
    <mergeCell ref="D38:F38"/>
    <mergeCell ref="D37:F37"/>
    <mergeCell ref="D36:F36"/>
    <mergeCell ref="D50:F50"/>
    <mergeCell ref="D49:F49"/>
    <mergeCell ref="D23:F23"/>
    <mergeCell ref="D21:F21"/>
    <mergeCell ref="D48:F48"/>
    <mergeCell ref="D47:F47"/>
    <mergeCell ref="D46:F46"/>
    <mergeCell ref="D45:F45"/>
    <mergeCell ref="B13:C13"/>
    <mergeCell ref="D17:F17"/>
    <mergeCell ref="D18:F18"/>
    <mergeCell ref="D13:F13"/>
    <mergeCell ref="D16:F16"/>
    <mergeCell ref="D15:F15"/>
    <mergeCell ref="D14:F14"/>
    <mergeCell ref="D20:F20"/>
    <mergeCell ref="D19:F19"/>
    <mergeCell ref="D27:F27"/>
    <mergeCell ref="D26:F26"/>
    <mergeCell ref="D25:F25"/>
    <mergeCell ref="D24:F24"/>
    <mergeCell ref="G13:K13"/>
    <mergeCell ref="G14:K26"/>
    <mergeCell ref="G27:K33"/>
    <mergeCell ref="D22:F22"/>
    <mergeCell ref="D44:F44"/>
    <mergeCell ref="D43:F43"/>
    <mergeCell ref="D33:F33"/>
    <mergeCell ref="D32:F32"/>
    <mergeCell ref="D31:F31"/>
    <mergeCell ref="D30:F30"/>
    <mergeCell ref="D42:F42"/>
    <mergeCell ref="D41:F41"/>
    <mergeCell ref="D40:F40"/>
    <mergeCell ref="D39:F39"/>
    <mergeCell ref="D58:F58"/>
    <mergeCell ref="D57:F57"/>
    <mergeCell ref="D56:F56"/>
    <mergeCell ref="D55:F55"/>
    <mergeCell ref="G51:K53"/>
    <mergeCell ref="G54:K58"/>
    <mergeCell ref="G59:K64"/>
    <mergeCell ref="D29:F29"/>
    <mergeCell ref="D28:F28"/>
    <mergeCell ref="G65:K66"/>
    <mergeCell ref="G67:K75"/>
    <mergeCell ref="D69:F69"/>
    <mergeCell ref="D68:F68"/>
    <mergeCell ref="D67:F67"/>
    <mergeCell ref="D54:F54"/>
    <mergeCell ref="D52:F52"/>
    <mergeCell ref="D51:F51"/>
    <mergeCell ref="G34:K36"/>
    <mergeCell ref="G37:K50"/>
    <mergeCell ref="D75:F75"/>
    <mergeCell ref="D74:F74"/>
    <mergeCell ref="D73:F73"/>
    <mergeCell ref="D72:F72"/>
    <mergeCell ref="D71:F71"/>
    <mergeCell ref="D70:F70"/>
    <mergeCell ref="D53:F53"/>
    <mergeCell ref="D66:F66"/>
    <mergeCell ref="D65:F65"/>
    <mergeCell ref="D64:F64"/>
    <mergeCell ref="D62:F62"/>
    <mergeCell ref="D35:F35"/>
    <mergeCell ref="D34:F34"/>
    <mergeCell ref="D59:F59"/>
    <mergeCell ref="B557:G557"/>
    <mergeCell ref="B597:G597"/>
    <mergeCell ref="B653:C653"/>
    <mergeCell ref="B661:C670"/>
    <mergeCell ref="B660:C660"/>
    <mergeCell ref="D670:E670"/>
    <mergeCell ref="D669:E669"/>
    <mergeCell ref="D668:E668"/>
    <mergeCell ref="D666:E666"/>
    <mergeCell ref="D667:E667"/>
    <mergeCell ref="D665:E665"/>
    <mergeCell ref="D664:E664"/>
    <mergeCell ref="D662:E662"/>
    <mergeCell ref="D661:E661"/>
    <mergeCell ref="D663:E663"/>
    <mergeCell ref="B672:C672"/>
    <mergeCell ref="B673:C682"/>
    <mergeCell ref="D673:E673"/>
    <mergeCell ref="D674:E674"/>
    <mergeCell ref="D675:E675"/>
    <mergeCell ref="D676:E676"/>
    <mergeCell ref="D677:E677"/>
    <mergeCell ref="D678:E678"/>
    <mergeCell ref="D679:E679"/>
    <mergeCell ref="D680:E680"/>
    <mergeCell ref="D681:E681"/>
    <mergeCell ref="D682:E682"/>
    <mergeCell ref="K701:L701"/>
    <mergeCell ref="K702:L702"/>
    <mergeCell ref="M701:N701"/>
    <mergeCell ref="M702:N702"/>
    <mergeCell ref="I700:N700"/>
    <mergeCell ref="B699:N699"/>
    <mergeCell ref="B683:C683"/>
    <mergeCell ref="C700:H700"/>
    <mergeCell ref="I701:J701"/>
    <mergeCell ref="I702:J702"/>
    <mergeCell ref="C701:D701"/>
    <mergeCell ref="E701:F701"/>
    <mergeCell ref="G701:H701"/>
    <mergeCell ref="C702:D702"/>
    <mergeCell ref="E702:F702"/>
    <mergeCell ref="G702:H702"/>
    <mergeCell ref="C725:D725"/>
    <mergeCell ref="E725:F725"/>
    <mergeCell ref="G725:H725"/>
    <mergeCell ref="I725:J725"/>
    <mergeCell ref="K725:L725"/>
    <mergeCell ref="B722:M722"/>
    <mergeCell ref="C723:H723"/>
    <mergeCell ref="I723:M723"/>
    <mergeCell ref="C724:D724"/>
    <mergeCell ref="E724:F724"/>
    <mergeCell ref="G724:H724"/>
    <mergeCell ref="I724:J724"/>
    <mergeCell ref="K724:L724"/>
  </mergeCells>
  <hyperlinks>
    <hyperlink ref="G27" r:id="rId1" display="http://www.urv.cat/ca/estudis/graus/admissio/matricula/" xr:uid="{69C98B37-8A25-4950-829F-E2DA2DA49F99}"/>
    <hyperlink ref="G37" r:id="rId2" display="https://moodle.urv.cat/docnet/guia_docent/index.php?centre=codicentre" xr:uid="{8DF1BA31-1D16-4417-BEEB-19162805511C}"/>
    <hyperlink ref="G14" r:id="rId3" display="http://www.urv.cat/ca/estudis/graus/admissio/acces/" xr:uid="{0B49550A-EDC1-463E-97D1-1B75F07C09DD}"/>
    <hyperlink ref="G51" r:id="rId4" xr:uid="{411E85DF-E991-4CF9-8DDB-5115C6C0F70C}"/>
    <hyperlink ref="G59" r:id="rId5" xr:uid="{ABE5A8F5-FD32-437B-A4B4-E2DBC4AC35B6}"/>
    <hyperlink ref="G67" r:id="rId6" display="https://tarragona.euses.cat/qualitat/" xr:uid="{56DC2416-0473-4FCE-80C3-AE92EA56BFE1}"/>
  </hyperlinks>
  <pageMargins left="0.7" right="0.7" top="0.75" bottom="0.75" header="0.3" footer="0.3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5450-2213-44EE-82C9-37A91B6119BD}">
  <dimension ref="A7:U108"/>
  <sheetViews>
    <sheetView zoomScaleNormal="100" workbookViewId="0"/>
  </sheetViews>
  <sheetFormatPr baseColWidth="10" defaultColWidth="11.5703125" defaultRowHeight="15" x14ac:dyDescent="0.25"/>
  <cols>
    <col min="4" max="4" width="11.5703125" style="398"/>
    <col min="6" max="6" width="11.5703125" style="398"/>
    <col min="10" max="10" width="11.5703125" style="398"/>
    <col min="12" max="12" width="11.5703125" style="398"/>
  </cols>
  <sheetData>
    <row r="7" spans="2:21" ht="18" x14ac:dyDescent="0.25">
      <c r="B7" s="1" t="s">
        <v>0</v>
      </c>
    </row>
    <row r="8" spans="2:21" x14ac:dyDescent="0.25">
      <c r="B8" s="86"/>
    </row>
    <row r="9" spans="2:21" ht="18" x14ac:dyDescent="0.25">
      <c r="B9" s="1" t="s">
        <v>933</v>
      </c>
    </row>
    <row r="10" spans="2:21" s="86" customFormat="1" ht="18" x14ac:dyDescent="0.25">
      <c r="B10" s="1"/>
      <c r="D10" s="398"/>
      <c r="F10" s="398"/>
      <c r="J10" s="398"/>
      <c r="L10" s="398"/>
    </row>
    <row r="12" spans="2:21" x14ac:dyDescent="0.25">
      <c r="B12" s="719" t="s">
        <v>1173</v>
      </c>
      <c r="C12" s="719"/>
      <c r="D12" s="719"/>
      <c r="E12" s="719"/>
      <c r="F12" s="719"/>
      <c r="G12" s="719"/>
      <c r="H12" s="719"/>
      <c r="I12" s="719"/>
      <c r="J12" s="719"/>
      <c r="K12" s="719"/>
      <c r="L12" s="719"/>
      <c r="M12" s="719"/>
      <c r="N12" s="719"/>
      <c r="O12" s="719"/>
      <c r="P12" s="719"/>
    </row>
    <row r="13" spans="2:21" x14ac:dyDescent="0.25">
      <c r="B13" s="1008" t="s">
        <v>12</v>
      </c>
      <c r="C13" s="1008"/>
      <c r="D13" s="1008"/>
      <c r="E13" s="1008"/>
      <c r="F13" s="1008"/>
      <c r="G13" s="1008"/>
      <c r="H13" s="1008"/>
      <c r="I13" s="1008"/>
      <c r="J13" s="1009"/>
      <c r="K13" s="1008"/>
      <c r="L13" s="1008"/>
      <c r="M13" s="1008"/>
      <c r="N13" s="1008"/>
      <c r="O13" s="1008"/>
      <c r="P13" s="1008"/>
      <c r="Q13" s="1008"/>
      <c r="R13" s="1008"/>
      <c r="S13" s="1010"/>
      <c r="T13" s="1010"/>
      <c r="U13" s="1010"/>
    </row>
    <row r="14" spans="2:21" ht="15.75" customHeight="1" x14ac:dyDescent="0.25">
      <c r="B14" s="672" t="s">
        <v>178</v>
      </c>
      <c r="C14" s="672" t="s">
        <v>179</v>
      </c>
      <c r="D14" s="672"/>
      <c r="E14" s="672" t="s">
        <v>180</v>
      </c>
      <c r="F14" s="672"/>
      <c r="G14" s="672" t="s">
        <v>181</v>
      </c>
      <c r="H14" s="672" t="s">
        <v>182</v>
      </c>
      <c r="I14" s="672" t="s">
        <v>183</v>
      </c>
      <c r="J14" s="672"/>
      <c r="K14" s="672" t="s">
        <v>184</v>
      </c>
      <c r="L14" s="672"/>
      <c r="M14" s="665" t="s">
        <v>185</v>
      </c>
      <c r="N14" s="665"/>
      <c r="O14" s="665"/>
      <c r="P14" s="665"/>
      <c r="Q14" s="665"/>
      <c r="R14" s="665"/>
      <c r="S14" s="665"/>
      <c r="T14" s="672" t="s">
        <v>186</v>
      </c>
      <c r="U14" s="672"/>
    </row>
    <row r="15" spans="2:21" ht="23.25" customHeight="1" x14ac:dyDescent="0.25">
      <c r="B15" s="665"/>
      <c r="C15" s="665"/>
      <c r="D15" s="665"/>
      <c r="E15" s="665"/>
      <c r="F15" s="665"/>
      <c r="G15" s="665"/>
      <c r="H15" s="665"/>
      <c r="I15" s="665"/>
      <c r="J15" s="665"/>
      <c r="K15" s="665"/>
      <c r="L15" s="665"/>
      <c r="M15" s="482" t="s">
        <v>187</v>
      </c>
      <c r="N15" s="482" t="s">
        <v>188</v>
      </c>
      <c r="O15" s="482" t="s">
        <v>189</v>
      </c>
      <c r="P15" s="482" t="s">
        <v>190</v>
      </c>
      <c r="Q15" s="482" t="s">
        <v>191</v>
      </c>
      <c r="R15" s="482" t="s">
        <v>192</v>
      </c>
      <c r="S15" s="482" t="s">
        <v>193</v>
      </c>
      <c r="T15" s="665"/>
      <c r="U15" s="665"/>
    </row>
    <row r="16" spans="2:21" x14ac:dyDescent="0.25">
      <c r="B16" s="774" t="s">
        <v>194</v>
      </c>
      <c r="C16" s="774"/>
      <c r="D16" s="774"/>
      <c r="E16" s="774"/>
      <c r="F16" s="774"/>
      <c r="G16" s="774"/>
      <c r="H16" s="774"/>
      <c r="I16" s="774"/>
      <c r="J16" s="524"/>
      <c r="K16" s="774"/>
      <c r="L16" s="774"/>
      <c r="M16" s="774"/>
      <c r="N16" s="774"/>
      <c r="O16" s="774"/>
      <c r="P16" s="774"/>
      <c r="Q16" s="774"/>
      <c r="R16" s="774"/>
      <c r="S16" s="787"/>
      <c r="T16" s="787"/>
      <c r="U16" s="787"/>
    </row>
    <row r="17" spans="2:21" ht="15" customHeight="1" x14ac:dyDescent="0.25">
      <c r="B17" s="760"/>
      <c r="C17" s="760" t="s">
        <v>195</v>
      </c>
      <c r="D17" s="760"/>
      <c r="E17" s="760" t="s">
        <v>196</v>
      </c>
      <c r="F17" s="760"/>
      <c r="G17" s="760" t="s">
        <v>197</v>
      </c>
      <c r="H17" s="760" t="s">
        <v>198</v>
      </c>
      <c r="I17" s="760" t="s">
        <v>199</v>
      </c>
      <c r="J17" s="760"/>
      <c r="K17" s="760" t="s">
        <v>200</v>
      </c>
      <c r="L17" s="760"/>
      <c r="M17" s="762" t="s">
        <v>201</v>
      </c>
      <c r="N17" s="762" t="s">
        <v>201</v>
      </c>
      <c r="O17" s="764">
        <v>0.66659999999999997</v>
      </c>
      <c r="P17" s="766">
        <v>0.5</v>
      </c>
      <c r="Q17" s="764">
        <v>0.78939999999999999</v>
      </c>
      <c r="R17" s="764">
        <v>0.65720000000000001</v>
      </c>
      <c r="S17" s="768">
        <v>0.85</v>
      </c>
      <c r="T17" s="770" t="s">
        <v>202</v>
      </c>
      <c r="U17" s="770"/>
    </row>
    <row r="18" spans="2:21" x14ac:dyDescent="0.25">
      <c r="B18" s="760"/>
      <c r="C18" s="760"/>
      <c r="D18" s="760"/>
      <c r="E18" s="760"/>
      <c r="F18" s="760"/>
      <c r="G18" s="760"/>
      <c r="H18" s="760"/>
      <c r="I18" s="760"/>
      <c r="J18" s="760"/>
      <c r="K18" s="760"/>
      <c r="L18" s="760"/>
      <c r="M18" s="762"/>
      <c r="N18" s="762"/>
      <c r="O18" s="764"/>
      <c r="P18" s="766"/>
      <c r="Q18" s="764"/>
      <c r="R18" s="764"/>
      <c r="S18" s="768"/>
      <c r="T18" s="770" t="s">
        <v>203</v>
      </c>
      <c r="U18" s="770"/>
    </row>
    <row r="19" spans="2:21" x14ac:dyDescent="0.25">
      <c r="B19" s="760"/>
      <c r="C19" s="760"/>
      <c r="D19" s="760"/>
      <c r="E19" s="760"/>
      <c r="F19" s="760"/>
      <c r="G19" s="760"/>
      <c r="H19" s="760"/>
      <c r="I19" s="760"/>
      <c r="J19" s="760"/>
      <c r="K19" s="760"/>
      <c r="L19" s="760"/>
      <c r="M19" s="762"/>
      <c r="N19" s="762"/>
      <c r="O19" s="764"/>
      <c r="P19" s="766"/>
      <c r="Q19" s="764"/>
      <c r="R19" s="764"/>
      <c r="S19" s="768"/>
      <c r="T19" s="770" t="s">
        <v>204</v>
      </c>
      <c r="U19" s="770"/>
    </row>
    <row r="20" spans="2:21" ht="37.5" customHeight="1" thickBot="1" x14ac:dyDescent="0.3">
      <c r="B20" s="761"/>
      <c r="C20" s="761"/>
      <c r="D20" s="761"/>
      <c r="E20" s="761" t="s">
        <v>205</v>
      </c>
      <c r="F20" s="761"/>
      <c r="G20" s="761"/>
      <c r="H20" s="761"/>
      <c r="I20" s="761"/>
      <c r="J20" s="761"/>
      <c r="K20" s="761"/>
      <c r="L20" s="761"/>
      <c r="M20" s="763"/>
      <c r="N20" s="763"/>
      <c r="O20" s="765"/>
      <c r="P20" s="767"/>
      <c r="Q20" s="765"/>
      <c r="R20" s="765"/>
      <c r="S20" s="769"/>
      <c r="T20" s="771" t="s">
        <v>206</v>
      </c>
      <c r="U20" s="771"/>
    </row>
    <row r="21" spans="2:21" ht="15" customHeight="1" x14ac:dyDescent="0.25">
      <c r="B21" s="756"/>
      <c r="C21" s="759" t="s">
        <v>207</v>
      </c>
      <c r="D21" s="759"/>
      <c r="E21" s="759" t="s">
        <v>196</v>
      </c>
      <c r="F21" s="759"/>
      <c r="G21" s="759" t="s">
        <v>197</v>
      </c>
      <c r="H21" s="759" t="s">
        <v>198</v>
      </c>
      <c r="I21" s="759" t="s">
        <v>199</v>
      </c>
      <c r="J21" s="759"/>
      <c r="K21" s="759" t="s">
        <v>200</v>
      </c>
      <c r="L21" s="759"/>
      <c r="M21" s="783" t="s">
        <v>208</v>
      </c>
      <c r="N21" s="783" t="s">
        <v>209</v>
      </c>
      <c r="O21" s="781">
        <v>0.52270000000000005</v>
      </c>
      <c r="P21" s="781">
        <v>0.45090000000000002</v>
      </c>
      <c r="Q21" s="781">
        <v>0.52500000000000002</v>
      </c>
      <c r="R21" s="781">
        <v>0.73329999999999995</v>
      </c>
      <c r="S21" s="782">
        <v>0.317</v>
      </c>
      <c r="T21" s="790" t="s">
        <v>202</v>
      </c>
      <c r="U21" s="790"/>
    </row>
    <row r="22" spans="2:21" x14ac:dyDescent="0.25">
      <c r="B22" s="757"/>
      <c r="C22" s="760"/>
      <c r="D22" s="760"/>
      <c r="E22" s="760"/>
      <c r="F22" s="760"/>
      <c r="G22" s="760"/>
      <c r="H22" s="760"/>
      <c r="I22" s="760"/>
      <c r="J22" s="760"/>
      <c r="K22" s="760"/>
      <c r="L22" s="760"/>
      <c r="M22" s="762"/>
      <c r="N22" s="762"/>
      <c r="O22" s="764"/>
      <c r="P22" s="757"/>
      <c r="Q22" s="757"/>
      <c r="R22" s="764"/>
      <c r="S22" s="768"/>
      <c r="T22" s="770" t="s">
        <v>203</v>
      </c>
      <c r="U22" s="770"/>
    </row>
    <row r="23" spans="2:21" x14ac:dyDescent="0.25">
      <c r="B23" s="757"/>
      <c r="C23" s="760"/>
      <c r="D23" s="760"/>
      <c r="E23" s="760"/>
      <c r="F23" s="760"/>
      <c r="G23" s="760"/>
      <c r="H23" s="760"/>
      <c r="I23" s="760"/>
      <c r="J23" s="760"/>
      <c r="K23" s="760"/>
      <c r="L23" s="760"/>
      <c r="M23" s="762"/>
      <c r="N23" s="762"/>
      <c r="O23" s="764"/>
      <c r="P23" s="757"/>
      <c r="Q23" s="757"/>
      <c r="R23" s="764"/>
      <c r="S23" s="768"/>
      <c r="T23" s="770" t="s">
        <v>204</v>
      </c>
      <c r="U23" s="770"/>
    </row>
    <row r="24" spans="2:21" ht="33" customHeight="1" thickBot="1" x14ac:dyDescent="0.3">
      <c r="B24" s="758"/>
      <c r="C24" s="761"/>
      <c r="D24" s="761"/>
      <c r="E24" s="761" t="s">
        <v>205</v>
      </c>
      <c r="F24" s="761"/>
      <c r="G24" s="761"/>
      <c r="H24" s="761"/>
      <c r="I24" s="761"/>
      <c r="J24" s="761"/>
      <c r="K24" s="761"/>
      <c r="L24" s="761"/>
      <c r="M24" s="763"/>
      <c r="N24" s="763"/>
      <c r="O24" s="765"/>
      <c r="P24" s="758"/>
      <c r="Q24" s="758"/>
      <c r="R24" s="765"/>
      <c r="S24" s="769"/>
      <c r="T24" s="771" t="s">
        <v>206</v>
      </c>
      <c r="U24" s="771"/>
    </row>
    <row r="25" spans="2:21" ht="33" customHeight="1" thickBot="1" x14ac:dyDescent="0.3">
      <c r="B25" s="498"/>
      <c r="C25" s="779" t="s">
        <v>210</v>
      </c>
      <c r="D25" s="779"/>
      <c r="E25" s="779" t="s">
        <v>211</v>
      </c>
      <c r="F25" s="779"/>
      <c r="G25" s="499" t="s">
        <v>197</v>
      </c>
      <c r="H25" s="499" t="s">
        <v>198</v>
      </c>
      <c r="I25" s="779" t="s">
        <v>212</v>
      </c>
      <c r="J25" s="779"/>
      <c r="K25" s="779" t="s">
        <v>200</v>
      </c>
      <c r="L25" s="779"/>
      <c r="M25" s="498" t="s">
        <v>64</v>
      </c>
      <c r="N25" s="498" t="s">
        <v>64</v>
      </c>
      <c r="O25" s="500">
        <v>0.87870000000000004</v>
      </c>
      <c r="P25" s="500">
        <v>0.58460000000000001</v>
      </c>
      <c r="Q25" s="500">
        <v>0.69140000000000001</v>
      </c>
      <c r="R25" s="500">
        <v>0.5544</v>
      </c>
      <c r="S25" s="501">
        <v>0.49249999999999999</v>
      </c>
      <c r="T25" s="780" t="s">
        <v>213</v>
      </c>
      <c r="U25" s="780"/>
    </row>
    <row r="26" spans="2:21" ht="15" customHeight="1" x14ac:dyDescent="0.25">
      <c r="B26" s="756"/>
      <c r="C26" s="759" t="s">
        <v>214</v>
      </c>
      <c r="D26" s="759"/>
      <c r="E26" s="759" t="s">
        <v>196</v>
      </c>
      <c r="F26" s="759"/>
      <c r="G26" s="759" t="s">
        <v>197</v>
      </c>
      <c r="H26" s="759" t="s">
        <v>198</v>
      </c>
      <c r="I26" s="759" t="s">
        <v>212</v>
      </c>
      <c r="J26" s="759"/>
      <c r="K26" s="759" t="s">
        <v>200</v>
      </c>
      <c r="L26" s="759"/>
      <c r="M26" s="783" t="s">
        <v>215</v>
      </c>
      <c r="N26" s="783" t="s">
        <v>215</v>
      </c>
      <c r="O26" s="756" t="s">
        <v>64</v>
      </c>
      <c r="P26" s="781">
        <v>0.58460000000000001</v>
      </c>
      <c r="Q26" s="781">
        <v>0.69140000000000001</v>
      </c>
      <c r="R26" s="781">
        <v>0.5544</v>
      </c>
      <c r="S26" s="782">
        <v>0.49249999999999999</v>
      </c>
      <c r="T26" s="790" t="s">
        <v>202</v>
      </c>
      <c r="U26" s="790"/>
    </row>
    <row r="27" spans="2:21" x14ac:dyDescent="0.25">
      <c r="B27" s="757"/>
      <c r="C27" s="760"/>
      <c r="D27" s="760"/>
      <c r="E27" s="760"/>
      <c r="F27" s="760"/>
      <c r="G27" s="760"/>
      <c r="H27" s="760"/>
      <c r="I27" s="760"/>
      <c r="J27" s="760"/>
      <c r="K27" s="760"/>
      <c r="L27" s="760"/>
      <c r="M27" s="762"/>
      <c r="N27" s="762"/>
      <c r="O27" s="757"/>
      <c r="P27" s="757"/>
      <c r="Q27" s="757"/>
      <c r="R27" s="764"/>
      <c r="S27" s="768"/>
      <c r="T27" s="770" t="s">
        <v>203</v>
      </c>
      <c r="U27" s="770"/>
    </row>
    <row r="28" spans="2:21" x14ac:dyDescent="0.25">
      <c r="B28" s="757"/>
      <c r="C28" s="760"/>
      <c r="D28" s="760"/>
      <c r="E28" s="760"/>
      <c r="F28" s="760"/>
      <c r="G28" s="760"/>
      <c r="H28" s="760"/>
      <c r="I28" s="760"/>
      <c r="J28" s="760"/>
      <c r="K28" s="760"/>
      <c r="L28" s="760"/>
      <c r="M28" s="762"/>
      <c r="N28" s="762"/>
      <c r="O28" s="757"/>
      <c r="P28" s="757"/>
      <c r="Q28" s="757"/>
      <c r="R28" s="764"/>
      <c r="S28" s="768"/>
      <c r="T28" s="770" t="s">
        <v>204</v>
      </c>
      <c r="U28" s="770"/>
    </row>
    <row r="29" spans="2:21" ht="36" customHeight="1" thickBot="1" x14ac:dyDescent="0.3">
      <c r="B29" s="758"/>
      <c r="C29" s="761"/>
      <c r="D29" s="761"/>
      <c r="E29" s="761" t="s">
        <v>205</v>
      </c>
      <c r="F29" s="761"/>
      <c r="G29" s="761"/>
      <c r="H29" s="761"/>
      <c r="I29" s="761"/>
      <c r="J29" s="761"/>
      <c r="K29" s="761"/>
      <c r="L29" s="761"/>
      <c r="M29" s="763"/>
      <c r="N29" s="763"/>
      <c r="O29" s="758"/>
      <c r="P29" s="758"/>
      <c r="Q29" s="758"/>
      <c r="R29" s="765"/>
      <c r="S29" s="769"/>
      <c r="T29" s="771" t="s">
        <v>206</v>
      </c>
      <c r="U29" s="771"/>
    </row>
    <row r="30" spans="2:21" ht="42" customHeight="1" thickBot="1" x14ac:dyDescent="0.3">
      <c r="B30" s="498"/>
      <c r="C30" s="779" t="s">
        <v>216</v>
      </c>
      <c r="D30" s="779"/>
      <c r="E30" s="779" t="s">
        <v>217</v>
      </c>
      <c r="F30" s="779"/>
      <c r="G30" s="499" t="s">
        <v>197</v>
      </c>
      <c r="H30" s="499" t="s">
        <v>198</v>
      </c>
      <c r="I30" s="779" t="s">
        <v>199</v>
      </c>
      <c r="J30" s="779"/>
      <c r="K30" s="779" t="s">
        <v>200</v>
      </c>
      <c r="L30" s="779"/>
      <c r="M30" s="498" t="s">
        <v>64</v>
      </c>
      <c r="N30" s="498" t="s">
        <v>64</v>
      </c>
      <c r="O30" s="498" t="s">
        <v>64</v>
      </c>
      <c r="P30" s="500">
        <v>0.61539999999999995</v>
      </c>
      <c r="Q30" s="502">
        <v>1</v>
      </c>
      <c r="R30" s="500">
        <v>0.4667</v>
      </c>
      <c r="S30" s="501">
        <v>0.3846</v>
      </c>
      <c r="T30" s="780" t="s">
        <v>206</v>
      </c>
      <c r="U30" s="780"/>
    </row>
    <row r="31" spans="2:21" ht="42" customHeight="1" thickBot="1" x14ac:dyDescent="0.3">
      <c r="B31" s="498"/>
      <c r="C31" s="779" t="s">
        <v>218</v>
      </c>
      <c r="D31" s="779"/>
      <c r="E31" s="779" t="s">
        <v>217</v>
      </c>
      <c r="F31" s="779"/>
      <c r="G31" s="499" t="s">
        <v>197</v>
      </c>
      <c r="H31" s="499" t="s">
        <v>198</v>
      </c>
      <c r="I31" s="779" t="s">
        <v>199</v>
      </c>
      <c r="J31" s="779"/>
      <c r="K31" s="779" t="s">
        <v>200</v>
      </c>
      <c r="L31" s="779"/>
      <c r="M31" s="498" t="s">
        <v>64</v>
      </c>
      <c r="N31" s="498" t="s">
        <v>64</v>
      </c>
      <c r="O31" s="498" t="s">
        <v>64</v>
      </c>
      <c r="P31" s="500">
        <v>0.59260000000000002</v>
      </c>
      <c r="Q31" s="500">
        <v>0.60870000000000002</v>
      </c>
      <c r="R31" s="500">
        <v>0.5</v>
      </c>
      <c r="S31" s="501">
        <v>0.36840000000000001</v>
      </c>
      <c r="T31" s="780" t="s">
        <v>206</v>
      </c>
      <c r="U31" s="780"/>
    </row>
    <row r="32" spans="2:21" ht="42" customHeight="1" thickBot="1" x14ac:dyDescent="0.3">
      <c r="B32" s="498"/>
      <c r="C32" s="779" t="s">
        <v>1331</v>
      </c>
      <c r="D32" s="779"/>
      <c r="E32" s="779" t="s">
        <v>217</v>
      </c>
      <c r="F32" s="779"/>
      <c r="G32" s="499" t="s">
        <v>197</v>
      </c>
      <c r="H32" s="499" t="s">
        <v>198</v>
      </c>
      <c r="I32" s="779" t="s">
        <v>199</v>
      </c>
      <c r="J32" s="779"/>
      <c r="K32" s="779" t="s">
        <v>200</v>
      </c>
      <c r="L32" s="779"/>
      <c r="M32" s="498" t="s">
        <v>64</v>
      </c>
      <c r="N32" s="498" t="s">
        <v>64</v>
      </c>
      <c r="O32" s="498" t="s">
        <v>64</v>
      </c>
      <c r="P32" s="500">
        <v>0.63119999999999998</v>
      </c>
      <c r="Q32" s="500">
        <v>0.46229999999999999</v>
      </c>
      <c r="R32" s="500">
        <v>0.56569999999999998</v>
      </c>
      <c r="S32" s="501">
        <v>0.1759</v>
      </c>
      <c r="T32" s="780"/>
      <c r="U32" s="780"/>
    </row>
    <row r="33" spans="2:21" ht="45.75" customHeight="1" x14ac:dyDescent="0.25">
      <c r="B33" s="496"/>
      <c r="C33" s="760" t="s">
        <v>1332</v>
      </c>
      <c r="D33" s="760"/>
      <c r="E33" s="760" t="s">
        <v>205</v>
      </c>
      <c r="F33" s="760"/>
      <c r="G33" s="491" t="s">
        <v>197</v>
      </c>
      <c r="H33" s="491" t="s">
        <v>198</v>
      </c>
      <c r="I33" s="760" t="s">
        <v>199</v>
      </c>
      <c r="J33" s="760"/>
      <c r="K33" s="760" t="s">
        <v>200</v>
      </c>
      <c r="L33" s="760"/>
      <c r="M33" s="492" t="s">
        <v>64</v>
      </c>
      <c r="N33" s="492" t="s">
        <v>64</v>
      </c>
      <c r="O33" s="492" t="s">
        <v>64</v>
      </c>
      <c r="P33" s="493">
        <v>0.72799999999999998</v>
      </c>
      <c r="Q33" s="493">
        <v>0.49459999999999998</v>
      </c>
      <c r="R33" s="493" t="s">
        <v>64</v>
      </c>
      <c r="S33" s="494" t="s">
        <v>64</v>
      </c>
      <c r="T33" s="770"/>
      <c r="U33" s="770"/>
    </row>
    <row r="34" spans="2:21" ht="15" customHeight="1" x14ac:dyDescent="0.25">
      <c r="B34" s="787" t="s">
        <v>219</v>
      </c>
      <c r="C34" s="787"/>
      <c r="D34" s="787"/>
      <c r="E34" s="787"/>
      <c r="F34" s="787"/>
      <c r="G34" s="787"/>
      <c r="H34" s="787"/>
      <c r="I34" s="787"/>
      <c r="J34" s="525"/>
      <c r="K34" s="774"/>
      <c r="L34" s="774"/>
      <c r="M34" s="774"/>
      <c r="N34" s="774"/>
      <c r="O34" s="774"/>
      <c r="P34" s="774"/>
      <c r="Q34" s="787"/>
      <c r="R34" s="787"/>
      <c r="S34" s="787"/>
      <c r="T34" s="787"/>
      <c r="U34" s="787"/>
    </row>
    <row r="35" spans="2:21" ht="36.75" customHeight="1" x14ac:dyDescent="0.25">
      <c r="B35" s="757"/>
      <c r="C35" s="760" t="s">
        <v>1325</v>
      </c>
      <c r="D35" s="760"/>
      <c r="E35" s="760" t="s">
        <v>220</v>
      </c>
      <c r="F35" s="760"/>
      <c r="G35" s="760" t="s">
        <v>197</v>
      </c>
      <c r="H35" s="760" t="s">
        <v>198</v>
      </c>
      <c r="I35" s="760" t="s">
        <v>199</v>
      </c>
      <c r="J35" s="760"/>
      <c r="K35" s="760" t="s">
        <v>200</v>
      </c>
      <c r="L35" s="760"/>
      <c r="M35" s="760" t="s">
        <v>64</v>
      </c>
      <c r="N35" s="760" t="s">
        <v>64</v>
      </c>
      <c r="O35" s="760" t="s">
        <v>64</v>
      </c>
      <c r="P35" s="760" t="s">
        <v>64</v>
      </c>
      <c r="Q35" s="760" t="s">
        <v>64</v>
      </c>
      <c r="R35" s="760" t="s">
        <v>64</v>
      </c>
      <c r="S35" s="770" t="s">
        <v>64</v>
      </c>
      <c r="T35" s="770"/>
      <c r="U35" s="770"/>
    </row>
    <row r="36" spans="2:21" ht="39.75" customHeight="1" x14ac:dyDescent="0.25">
      <c r="B36" s="757"/>
      <c r="C36" s="760"/>
      <c r="D36" s="760"/>
      <c r="E36" s="760" t="s">
        <v>221</v>
      </c>
      <c r="F36" s="760"/>
      <c r="G36" s="760"/>
      <c r="H36" s="760"/>
      <c r="I36" s="760"/>
      <c r="J36" s="760"/>
      <c r="K36" s="760"/>
      <c r="L36" s="760"/>
      <c r="M36" s="760"/>
      <c r="N36" s="760"/>
      <c r="O36" s="760"/>
      <c r="P36" s="760"/>
      <c r="Q36" s="760"/>
      <c r="R36" s="760"/>
      <c r="S36" s="770"/>
      <c r="T36" s="770"/>
      <c r="U36" s="770"/>
    </row>
    <row r="37" spans="2:21" ht="27" customHeight="1" x14ac:dyDescent="0.25">
      <c r="B37" s="757"/>
      <c r="C37" s="760"/>
      <c r="D37" s="760"/>
      <c r="E37" s="760" t="s">
        <v>222</v>
      </c>
      <c r="F37" s="760"/>
      <c r="G37" s="760"/>
      <c r="H37" s="760"/>
      <c r="I37" s="760"/>
      <c r="J37" s="760"/>
      <c r="K37" s="760"/>
      <c r="L37" s="760"/>
      <c r="M37" s="760"/>
      <c r="N37" s="760"/>
      <c r="O37" s="760"/>
      <c r="P37" s="760"/>
      <c r="Q37" s="760"/>
      <c r="R37" s="760"/>
      <c r="S37" s="770"/>
      <c r="T37" s="770"/>
      <c r="U37" s="770"/>
    </row>
    <row r="38" spans="2:21" ht="45" customHeight="1" x14ac:dyDescent="0.25">
      <c r="B38" s="757"/>
      <c r="C38" s="760"/>
      <c r="D38" s="760"/>
      <c r="E38" s="760" t="s">
        <v>223</v>
      </c>
      <c r="F38" s="760"/>
      <c r="G38" s="760"/>
      <c r="H38" s="760"/>
      <c r="I38" s="760"/>
      <c r="J38" s="760"/>
      <c r="K38" s="760"/>
      <c r="L38" s="760"/>
      <c r="M38" s="760"/>
      <c r="N38" s="760"/>
      <c r="O38" s="760"/>
      <c r="P38" s="760"/>
      <c r="Q38" s="760"/>
      <c r="R38" s="760"/>
      <c r="S38" s="770"/>
      <c r="T38" s="770"/>
      <c r="U38" s="770"/>
    </row>
    <row r="39" spans="2:21" ht="26.25" customHeight="1" x14ac:dyDescent="0.25">
      <c r="B39" s="757"/>
      <c r="C39" s="760"/>
      <c r="D39" s="760"/>
      <c r="E39" s="760" t="s">
        <v>224</v>
      </c>
      <c r="F39" s="760"/>
      <c r="G39" s="760"/>
      <c r="H39" s="760"/>
      <c r="I39" s="760"/>
      <c r="J39" s="760"/>
      <c r="K39" s="760"/>
      <c r="L39" s="760"/>
      <c r="M39" s="760"/>
      <c r="N39" s="760"/>
      <c r="O39" s="760"/>
      <c r="P39" s="760"/>
      <c r="Q39" s="760"/>
      <c r="R39" s="760"/>
      <c r="S39" s="770"/>
      <c r="T39" s="770"/>
      <c r="U39" s="770"/>
    </row>
    <row r="40" spans="2:21" ht="27.75" customHeight="1" x14ac:dyDescent="0.25">
      <c r="B40" s="757"/>
      <c r="C40" s="760"/>
      <c r="D40" s="760"/>
      <c r="E40" s="760" t="s">
        <v>225</v>
      </c>
      <c r="F40" s="760"/>
      <c r="G40" s="760"/>
      <c r="H40" s="760"/>
      <c r="I40" s="760"/>
      <c r="J40" s="760"/>
      <c r="K40" s="760"/>
      <c r="L40" s="760"/>
      <c r="M40" s="760"/>
      <c r="N40" s="760"/>
      <c r="O40" s="760"/>
      <c r="P40" s="760"/>
      <c r="Q40" s="760"/>
      <c r="R40" s="760"/>
      <c r="S40" s="770"/>
      <c r="T40" s="770"/>
      <c r="U40" s="770"/>
    </row>
    <row r="41" spans="2:21" ht="24.75" customHeight="1" x14ac:dyDescent="0.25">
      <c r="B41" s="757"/>
      <c r="C41" s="760"/>
      <c r="D41" s="760"/>
      <c r="E41" s="760" t="s">
        <v>226</v>
      </c>
      <c r="F41" s="760"/>
      <c r="G41" s="760"/>
      <c r="H41" s="760"/>
      <c r="I41" s="760"/>
      <c r="J41" s="760"/>
      <c r="K41" s="760"/>
      <c r="L41" s="760"/>
      <c r="M41" s="760"/>
      <c r="N41" s="760"/>
      <c r="O41" s="760"/>
      <c r="P41" s="760"/>
      <c r="Q41" s="760"/>
      <c r="R41" s="760"/>
      <c r="S41" s="770"/>
      <c r="T41" s="770"/>
      <c r="U41" s="770"/>
    </row>
    <row r="42" spans="2:21" ht="26.25" customHeight="1" x14ac:dyDescent="0.25">
      <c r="B42" s="757"/>
      <c r="C42" s="760"/>
      <c r="D42" s="760"/>
      <c r="E42" s="760" t="s">
        <v>227</v>
      </c>
      <c r="F42" s="760"/>
      <c r="G42" s="760"/>
      <c r="H42" s="760"/>
      <c r="I42" s="760"/>
      <c r="J42" s="760"/>
      <c r="K42" s="760"/>
      <c r="L42" s="760"/>
      <c r="M42" s="760"/>
      <c r="N42" s="760"/>
      <c r="O42" s="760"/>
      <c r="P42" s="760"/>
      <c r="Q42" s="760"/>
      <c r="R42" s="760"/>
      <c r="S42" s="770"/>
      <c r="T42" s="770"/>
      <c r="U42" s="770"/>
    </row>
    <row r="43" spans="2:21" ht="37.5" customHeight="1" thickBot="1" x14ac:dyDescent="0.3">
      <c r="B43" s="758"/>
      <c r="C43" s="761"/>
      <c r="D43" s="761"/>
      <c r="E43" s="761" t="s">
        <v>228</v>
      </c>
      <c r="F43" s="761"/>
      <c r="G43" s="761"/>
      <c r="H43" s="761"/>
      <c r="I43" s="761"/>
      <c r="J43" s="761"/>
      <c r="K43" s="761"/>
      <c r="L43" s="761"/>
      <c r="M43" s="761"/>
      <c r="N43" s="761"/>
      <c r="O43" s="761"/>
      <c r="P43" s="761"/>
      <c r="Q43" s="761"/>
      <c r="R43" s="761"/>
      <c r="S43" s="771"/>
      <c r="T43" s="771"/>
      <c r="U43" s="771"/>
    </row>
    <row r="44" spans="2:21" ht="47.25" customHeight="1" thickBot="1" x14ac:dyDescent="0.3">
      <c r="B44" s="498"/>
      <c r="C44" s="788" t="s">
        <v>1326</v>
      </c>
      <c r="D44" s="788"/>
      <c r="E44" s="779" t="s">
        <v>229</v>
      </c>
      <c r="F44" s="779"/>
      <c r="G44" s="499" t="s">
        <v>197</v>
      </c>
      <c r="H44" s="499" t="s">
        <v>198</v>
      </c>
      <c r="I44" s="779" t="s">
        <v>199</v>
      </c>
      <c r="J44" s="779"/>
      <c r="K44" s="779" t="s">
        <v>200</v>
      </c>
      <c r="L44" s="779"/>
      <c r="M44" s="503" t="s">
        <v>64</v>
      </c>
      <c r="N44" s="503" t="s">
        <v>64</v>
      </c>
      <c r="O44" s="503" t="s">
        <v>64</v>
      </c>
      <c r="P44" s="500">
        <v>0.5333</v>
      </c>
      <c r="Q44" s="500">
        <v>0.3</v>
      </c>
      <c r="R44" s="500">
        <v>0.83330000000000004</v>
      </c>
      <c r="S44" s="501">
        <v>0.5</v>
      </c>
      <c r="T44" s="504"/>
      <c r="U44" s="505"/>
    </row>
    <row r="45" spans="2:21" ht="39.75" customHeight="1" x14ac:dyDescent="0.25">
      <c r="B45" s="492"/>
      <c r="C45" s="741" t="s">
        <v>1327</v>
      </c>
      <c r="D45" s="741"/>
      <c r="E45" s="760" t="s">
        <v>230</v>
      </c>
      <c r="F45" s="760"/>
      <c r="G45" s="491" t="s">
        <v>197</v>
      </c>
      <c r="H45" s="491" t="s">
        <v>198</v>
      </c>
      <c r="I45" s="760" t="s">
        <v>199</v>
      </c>
      <c r="J45" s="760"/>
      <c r="K45" s="760" t="s">
        <v>200</v>
      </c>
      <c r="L45" s="760"/>
      <c r="M45" s="492" t="s">
        <v>64</v>
      </c>
      <c r="N45" s="492" t="s">
        <v>64</v>
      </c>
      <c r="O45" s="492" t="s">
        <v>64</v>
      </c>
      <c r="P45" s="493">
        <v>0.90900000000000003</v>
      </c>
      <c r="Q45" s="494">
        <v>0.7</v>
      </c>
      <c r="R45" s="492" t="s">
        <v>64</v>
      </c>
      <c r="S45" s="494">
        <v>0.55559999999999998</v>
      </c>
      <c r="T45" s="497"/>
    </row>
    <row r="46" spans="2:21" x14ac:dyDescent="0.25">
      <c r="B46" s="774" t="s">
        <v>231</v>
      </c>
      <c r="C46" s="774"/>
      <c r="D46" s="774"/>
      <c r="E46" s="774"/>
      <c r="F46" s="787"/>
      <c r="G46" s="787"/>
      <c r="H46" s="787"/>
      <c r="I46" s="787"/>
      <c r="J46" s="525"/>
      <c r="K46" s="789"/>
      <c r="L46" s="789"/>
      <c r="M46" s="789"/>
      <c r="N46" s="789"/>
      <c r="O46" s="787"/>
      <c r="P46" s="787"/>
      <c r="Q46" s="787"/>
      <c r="R46" s="787"/>
      <c r="S46" s="787"/>
      <c r="T46" s="787"/>
      <c r="U46" s="787"/>
    </row>
    <row r="47" spans="2:21" ht="21" customHeight="1" x14ac:dyDescent="0.25">
      <c r="B47" s="772"/>
      <c r="C47" s="741" t="s">
        <v>232</v>
      </c>
      <c r="D47" s="741"/>
      <c r="E47" s="760" t="s">
        <v>196</v>
      </c>
      <c r="F47" s="760"/>
      <c r="G47" s="760" t="s">
        <v>197</v>
      </c>
      <c r="H47" s="760" t="s">
        <v>198</v>
      </c>
      <c r="I47" s="760" t="s">
        <v>199</v>
      </c>
      <c r="J47" s="760"/>
      <c r="K47" s="760" t="s">
        <v>200</v>
      </c>
      <c r="L47" s="760"/>
      <c r="M47" s="757" t="s">
        <v>64</v>
      </c>
      <c r="N47" s="757" t="s">
        <v>64</v>
      </c>
      <c r="O47" s="764">
        <v>0.52270000000000005</v>
      </c>
      <c r="P47" s="764">
        <v>0.36109999999999998</v>
      </c>
      <c r="Q47" s="764">
        <v>0.47060000000000002</v>
      </c>
      <c r="R47" s="764">
        <v>0.32350000000000001</v>
      </c>
      <c r="S47" s="768">
        <v>0.18509999999999999</v>
      </c>
      <c r="T47" s="760"/>
      <c r="U47" s="760"/>
    </row>
    <row r="48" spans="2:21" ht="41.25" customHeight="1" thickBot="1" x14ac:dyDescent="0.3">
      <c r="B48" s="773"/>
      <c r="C48" s="746"/>
      <c r="D48" s="746"/>
      <c r="E48" s="761" t="s">
        <v>205</v>
      </c>
      <c r="F48" s="761"/>
      <c r="G48" s="761"/>
      <c r="H48" s="761"/>
      <c r="I48" s="761"/>
      <c r="J48" s="761"/>
      <c r="K48" s="761"/>
      <c r="L48" s="761"/>
      <c r="M48" s="758"/>
      <c r="N48" s="758"/>
      <c r="O48" s="758"/>
      <c r="P48" s="758"/>
      <c r="Q48" s="758"/>
      <c r="R48" s="765"/>
      <c r="S48" s="769"/>
      <c r="T48" s="761"/>
      <c r="U48" s="761"/>
    </row>
    <row r="49" spans="1:21" ht="21" customHeight="1" x14ac:dyDescent="0.25">
      <c r="B49" s="757"/>
      <c r="C49" s="760" t="s">
        <v>1328</v>
      </c>
      <c r="D49" s="760"/>
      <c r="E49" s="760" t="s">
        <v>233</v>
      </c>
      <c r="F49" s="760"/>
      <c r="G49" s="760" t="s">
        <v>197</v>
      </c>
      <c r="H49" s="760" t="s">
        <v>198</v>
      </c>
      <c r="I49" s="760" t="s">
        <v>199</v>
      </c>
      <c r="J49" s="760"/>
      <c r="K49" s="760" t="s">
        <v>902</v>
      </c>
      <c r="L49" s="760"/>
      <c r="M49" s="757" t="s">
        <v>64</v>
      </c>
      <c r="N49" s="757" t="s">
        <v>64</v>
      </c>
      <c r="O49" s="757" t="s">
        <v>64</v>
      </c>
      <c r="P49" s="757" t="s">
        <v>64</v>
      </c>
      <c r="Q49" s="757" t="s">
        <v>64</v>
      </c>
      <c r="R49" s="768">
        <v>0.53800000000000003</v>
      </c>
      <c r="S49" s="768">
        <v>0.42899999999999999</v>
      </c>
      <c r="T49" s="760" t="s">
        <v>202</v>
      </c>
      <c r="U49" s="760"/>
    </row>
    <row r="50" spans="1:21" ht="21" customHeight="1" x14ac:dyDescent="0.25">
      <c r="B50" s="757"/>
      <c r="C50" s="760"/>
      <c r="D50" s="760"/>
      <c r="E50" s="760" t="s">
        <v>196</v>
      </c>
      <c r="F50" s="760"/>
      <c r="G50" s="760"/>
      <c r="H50" s="760"/>
      <c r="I50" s="760"/>
      <c r="J50" s="760"/>
      <c r="K50" s="760"/>
      <c r="L50" s="760"/>
      <c r="M50" s="757"/>
      <c r="N50" s="757"/>
      <c r="O50" s="757"/>
      <c r="P50" s="757"/>
      <c r="Q50" s="757"/>
      <c r="R50" s="785"/>
      <c r="S50" s="785"/>
      <c r="T50" s="760" t="s">
        <v>203</v>
      </c>
      <c r="U50" s="760"/>
    </row>
    <row r="51" spans="1:21" ht="16.5" customHeight="1" x14ac:dyDescent="0.25">
      <c r="B51" s="757"/>
      <c r="C51" s="760"/>
      <c r="D51" s="760"/>
      <c r="E51" s="760" t="s">
        <v>205</v>
      </c>
      <c r="F51" s="760"/>
      <c r="G51" s="760"/>
      <c r="H51" s="760"/>
      <c r="I51" s="760"/>
      <c r="J51" s="760"/>
      <c r="K51" s="760"/>
      <c r="L51" s="760"/>
      <c r="M51" s="757"/>
      <c r="N51" s="757"/>
      <c r="O51" s="757"/>
      <c r="P51" s="757"/>
      <c r="Q51" s="757"/>
      <c r="R51" s="785"/>
      <c r="S51" s="785"/>
      <c r="T51" s="760" t="s">
        <v>213</v>
      </c>
      <c r="U51" s="760"/>
    </row>
    <row r="52" spans="1:21" x14ac:dyDescent="0.25">
      <c r="B52" s="757"/>
      <c r="C52" s="760"/>
      <c r="D52" s="760"/>
      <c r="E52" s="760"/>
      <c r="F52" s="760"/>
      <c r="G52" s="760"/>
      <c r="H52" s="760"/>
      <c r="I52" s="760"/>
      <c r="J52" s="760"/>
      <c r="K52" s="760"/>
      <c r="L52" s="760"/>
      <c r="M52" s="757"/>
      <c r="N52" s="757"/>
      <c r="O52" s="757"/>
      <c r="P52" s="757"/>
      <c r="Q52" s="757"/>
      <c r="R52" s="785"/>
      <c r="S52" s="785"/>
      <c r="T52" s="760" t="s">
        <v>204</v>
      </c>
      <c r="U52" s="760"/>
    </row>
    <row r="53" spans="1:21" ht="15.75" thickBot="1" x14ac:dyDescent="0.3">
      <c r="B53" s="758"/>
      <c r="C53" s="761"/>
      <c r="D53" s="761"/>
      <c r="E53" s="761"/>
      <c r="F53" s="761"/>
      <c r="G53" s="761"/>
      <c r="H53" s="761"/>
      <c r="I53" s="761"/>
      <c r="J53" s="761"/>
      <c r="K53" s="761"/>
      <c r="L53" s="761"/>
      <c r="M53" s="758"/>
      <c r="N53" s="758"/>
      <c r="O53" s="758"/>
      <c r="P53" s="758"/>
      <c r="Q53" s="758"/>
      <c r="R53" s="784"/>
      <c r="S53" s="784"/>
      <c r="T53" s="761" t="s">
        <v>206</v>
      </c>
      <c r="U53" s="761"/>
    </row>
    <row r="54" spans="1:21" ht="18.75" customHeight="1" x14ac:dyDescent="0.25">
      <c r="B54" s="757"/>
      <c r="C54" s="760" t="s">
        <v>1329</v>
      </c>
      <c r="D54" s="760"/>
      <c r="E54" s="760" t="s">
        <v>234</v>
      </c>
      <c r="F54" s="760"/>
      <c r="G54" s="760" t="s">
        <v>197</v>
      </c>
      <c r="H54" s="760" t="s">
        <v>198</v>
      </c>
      <c r="I54" s="760" t="s">
        <v>235</v>
      </c>
      <c r="J54" s="760"/>
      <c r="K54" s="760" t="s">
        <v>902</v>
      </c>
      <c r="L54" s="760"/>
      <c r="M54" s="757" t="s">
        <v>64</v>
      </c>
      <c r="N54" s="757" t="s">
        <v>64</v>
      </c>
      <c r="O54" s="757" t="s">
        <v>64</v>
      </c>
      <c r="P54" s="757" t="s">
        <v>64</v>
      </c>
      <c r="Q54" s="757" t="s">
        <v>64</v>
      </c>
      <c r="R54" s="785" t="s">
        <v>64</v>
      </c>
      <c r="S54" s="768">
        <v>0.438</v>
      </c>
      <c r="T54" s="760" t="s">
        <v>206</v>
      </c>
      <c r="U54" s="760"/>
    </row>
    <row r="55" spans="1:21" ht="30.75" customHeight="1" thickBot="1" x14ac:dyDescent="0.3">
      <c r="B55" s="758"/>
      <c r="C55" s="761"/>
      <c r="D55" s="761"/>
      <c r="E55" s="761" t="s">
        <v>236</v>
      </c>
      <c r="F55" s="761"/>
      <c r="G55" s="761"/>
      <c r="H55" s="761"/>
      <c r="I55" s="761"/>
      <c r="J55" s="761"/>
      <c r="K55" s="761"/>
      <c r="L55" s="761"/>
      <c r="M55" s="758"/>
      <c r="N55" s="758"/>
      <c r="O55" s="758"/>
      <c r="P55" s="758"/>
      <c r="Q55" s="758"/>
      <c r="R55" s="784"/>
      <c r="S55" s="784"/>
      <c r="T55" s="761"/>
      <c r="U55" s="761"/>
    </row>
    <row r="56" spans="1:21" ht="21" customHeight="1" x14ac:dyDescent="0.25">
      <c r="B56" s="756"/>
      <c r="C56" s="786" t="s">
        <v>1330</v>
      </c>
      <c r="D56" s="786"/>
      <c r="E56" s="759" t="s">
        <v>234</v>
      </c>
      <c r="F56" s="759"/>
      <c r="G56" s="759" t="s">
        <v>197</v>
      </c>
      <c r="H56" s="759" t="s">
        <v>237</v>
      </c>
      <c r="I56" s="756" t="s">
        <v>64</v>
      </c>
      <c r="J56" s="756"/>
      <c r="K56" s="759" t="s">
        <v>200</v>
      </c>
      <c r="L56" s="759"/>
      <c r="M56" s="756" t="s">
        <v>64</v>
      </c>
      <c r="N56" s="756" t="s">
        <v>64</v>
      </c>
      <c r="O56" s="756" t="s">
        <v>64</v>
      </c>
      <c r="P56" s="756" t="s">
        <v>64</v>
      </c>
      <c r="Q56" s="756" t="s">
        <v>64</v>
      </c>
      <c r="R56" s="776" t="s">
        <v>64</v>
      </c>
      <c r="S56" s="776" t="s">
        <v>64</v>
      </c>
      <c r="T56" s="759"/>
      <c r="U56" s="759"/>
    </row>
    <row r="57" spans="1:21" ht="28.5" customHeight="1" thickBot="1" x14ac:dyDescent="0.3">
      <c r="B57" s="775"/>
      <c r="C57" s="743"/>
      <c r="D57" s="743"/>
      <c r="E57" s="743" t="s">
        <v>236</v>
      </c>
      <c r="F57" s="743"/>
      <c r="G57" s="778"/>
      <c r="H57" s="778"/>
      <c r="I57" s="775"/>
      <c r="J57" s="775"/>
      <c r="K57" s="778"/>
      <c r="L57" s="778"/>
      <c r="M57" s="775"/>
      <c r="N57" s="775"/>
      <c r="O57" s="775"/>
      <c r="P57" s="775"/>
      <c r="Q57" s="775"/>
      <c r="R57" s="777"/>
      <c r="S57" s="777"/>
      <c r="T57" s="778"/>
      <c r="U57" s="778"/>
    </row>
    <row r="60" spans="1:21" x14ac:dyDescent="0.25">
      <c r="A60" s="398"/>
      <c r="B60" s="1008" t="s">
        <v>13</v>
      </c>
      <c r="C60" s="1008"/>
      <c r="D60" s="1008"/>
      <c r="E60" s="1008"/>
      <c r="F60" s="1008"/>
      <c r="G60" s="1008"/>
      <c r="H60" s="1008"/>
      <c r="I60" s="1008"/>
      <c r="J60" s="1009"/>
      <c r="K60" s="1008"/>
      <c r="L60" s="1008"/>
      <c r="M60" s="1008"/>
      <c r="N60" s="1008"/>
      <c r="O60" s="1008"/>
      <c r="P60" s="1008"/>
      <c r="Q60" s="1008"/>
      <c r="R60" s="1008"/>
      <c r="S60" s="1010"/>
      <c r="T60" s="1010"/>
      <c r="U60" s="1010"/>
    </row>
    <row r="61" spans="1:21" x14ac:dyDescent="0.25">
      <c r="A61" s="398"/>
      <c r="B61" s="672" t="s">
        <v>178</v>
      </c>
      <c r="C61" s="672" t="s">
        <v>179</v>
      </c>
      <c r="D61" s="672"/>
      <c r="E61" s="672" t="s">
        <v>180</v>
      </c>
      <c r="F61" s="672"/>
      <c r="G61" s="672" t="s">
        <v>181</v>
      </c>
      <c r="H61" s="672" t="s">
        <v>182</v>
      </c>
      <c r="I61" s="672" t="s">
        <v>183</v>
      </c>
      <c r="J61" s="672"/>
      <c r="K61" s="672" t="s">
        <v>184</v>
      </c>
      <c r="L61" s="672"/>
      <c r="M61" s="665" t="s">
        <v>185</v>
      </c>
      <c r="N61" s="665"/>
      <c r="O61" s="665"/>
      <c r="P61" s="665"/>
      <c r="Q61" s="665"/>
      <c r="R61" s="665"/>
      <c r="S61" s="665"/>
      <c r="T61" s="672" t="s">
        <v>186</v>
      </c>
      <c r="U61" s="672"/>
    </row>
    <row r="62" spans="1:21" x14ac:dyDescent="0.25">
      <c r="A62" s="398"/>
      <c r="B62" s="665"/>
      <c r="C62" s="665"/>
      <c r="D62" s="665"/>
      <c r="E62" s="665"/>
      <c r="F62" s="665"/>
      <c r="G62" s="665"/>
      <c r="H62" s="665"/>
      <c r="I62" s="665"/>
      <c r="J62" s="665"/>
      <c r="K62" s="665"/>
      <c r="L62" s="665"/>
      <c r="M62" s="482" t="s">
        <v>187</v>
      </c>
      <c r="N62" s="482" t="s">
        <v>188</v>
      </c>
      <c r="O62" s="482" t="s">
        <v>189</v>
      </c>
      <c r="P62" s="482" t="s">
        <v>190</v>
      </c>
      <c r="Q62" s="482" t="s">
        <v>191</v>
      </c>
      <c r="R62" s="482" t="s">
        <v>192</v>
      </c>
      <c r="S62" s="482" t="s">
        <v>193</v>
      </c>
      <c r="T62" s="665"/>
      <c r="U62" s="665"/>
    </row>
    <row r="63" spans="1:21" x14ac:dyDescent="0.25">
      <c r="A63" s="398"/>
      <c r="B63" s="774" t="s">
        <v>194</v>
      </c>
      <c r="C63" s="774"/>
      <c r="D63" s="774"/>
      <c r="E63" s="774"/>
      <c r="F63" s="774"/>
      <c r="G63" s="774"/>
      <c r="H63" s="774"/>
      <c r="I63" s="774"/>
      <c r="J63" s="524"/>
      <c r="K63" s="774"/>
      <c r="L63" s="774"/>
      <c r="M63" s="774"/>
      <c r="N63" s="774"/>
      <c r="O63" s="774"/>
      <c r="P63" s="774"/>
      <c r="Q63" s="774"/>
      <c r="R63" s="774"/>
      <c r="S63" s="787"/>
      <c r="T63" s="787"/>
      <c r="U63" s="787"/>
    </row>
    <row r="64" spans="1:21" x14ac:dyDescent="0.25">
      <c r="A64" s="398"/>
      <c r="B64" s="760"/>
      <c r="C64" s="760" t="s">
        <v>195</v>
      </c>
      <c r="D64" s="760"/>
      <c r="E64" s="760" t="s">
        <v>196</v>
      </c>
      <c r="F64" s="760"/>
      <c r="G64" s="760" t="s">
        <v>197</v>
      </c>
      <c r="H64" s="760" t="s">
        <v>198</v>
      </c>
      <c r="I64" s="760" t="s">
        <v>199</v>
      </c>
      <c r="J64" s="760"/>
      <c r="K64" s="760" t="s">
        <v>200</v>
      </c>
      <c r="L64" s="760"/>
      <c r="M64" s="762" t="s">
        <v>201</v>
      </c>
      <c r="N64" s="762" t="s">
        <v>201</v>
      </c>
      <c r="O64" s="764">
        <v>0.38</v>
      </c>
      <c r="P64" s="764">
        <v>0.19350000000000001</v>
      </c>
      <c r="Q64" s="764">
        <v>0.92859999999999998</v>
      </c>
      <c r="R64" s="764">
        <v>0.90480000000000005</v>
      </c>
      <c r="S64" s="768">
        <v>0.7288</v>
      </c>
      <c r="T64" s="770" t="s">
        <v>202</v>
      </c>
      <c r="U64" s="770"/>
    </row>
    <row r="65" spans="1:21" x14ac:dyDescent="0.25">
      <c r="A65" s="398"/>
      <c r="B65" s="760"/>
      <c r="C65" s="760"/>
      <c r="D65" s="760"/>
      <c r="E65" s="760"/>
      <c r="F65" s="760"/>
      <c r="G65" s="760"/>
      <c r="H65" s="760"/>
      <c r="I65" s="760"/>
      <c r="J65" s="760"/>
      <c r="K65" s="760"/>
      <c r="L65" s="760"/>
      <c r="M65" s="762"/>
      <c r="N65" s="762"/>
      <c r="O65" s="764"/>
      <c r="P65" s="764"/>
      <c r="Q65" s="764"/>
      <c r="R65" s="764"/>
      <c r="S65" s="768"/>
      <c r="T65" s="770" t="s">
        <v>203</v>
      </c>
      <c r="U65" s="770"/>
    </row>
    <row r="66" spans="1:21" x14ac:dyDescent="0.25">
      <c r="A66" s="398"/>
      <c r="B66" s="760"/>
      <c r="C66" s="760"/>
      <c r="D66" s="760"/>
      <c r="E66" s="760"/>
      <c r="F66" s="760"/>
      <c r="G66" s="760"/>
      <c r="H66" s="760"/>
      <c r="I66" s="760"/>
      <c r="J66" s="760"/>
      <c r="K66" s="760"/>
      <c r="L66" s="760"/>
      <c r="M66" s="762"/>
      <c r="N66" s="762"/>
      <c r="O66" s="764"/>
      <c r="P66" s="764"/>
      <c r="Q66" s="764"/>
      <c r="R66" s="764"/>
      <c r="S66" s="768"/>
      <c r="T66" s="770" t="s">
        <v>204</v>
      </c>
      <c r="U66" s="770"/>
    </row>
    <row r="67" spans="1:21" ht="36" customHeight="1" thickBot="1" x14ac:dyDescent="0.3">
      <c r="A67" s="398"/>
      <c r="B67" s="761"/>
      <c r="C67" s="761"/>
      <c r="D67" s="761"/>
      <c r="E67" s="761" t="s">
        <v>205</v>
      </c>
      <c r="F67" s="761"/>
      <c r="G67" s="761"/>
      <c r="H67" s="761"/>
      <c r="I67" s="761"/>
      <c r="J67" s="761"/>
      <c r="K67" s="761"/>
      <c r="L67" s="761"/>
      <c r="M67" s="763"/>
      <c r="N67" s="763"/>
      <c r="O67" s="765"/>
      <c r="P67" s="765"/>
      <c r="Q67" s="765"/>
      <c r="R67" s="765"/>
      <c r="S67" s="769"/>
      <c r="T67" s="771" t="s">
        <v>206</v>
      </c>
      <c r="U67" s="771"/>
    </row>
    <row r="68" spans="1:21" x14ac:dyDescent="0.25">
      <c r="A68" s="398"/>
      <c r="B68" s="756"/>
      <c r="C68" s="759" t="s">
        <v>207</v>
      </c>
      <c r="D68" s="759"/>
      <c r="E68" s="759" t="s">
        <v>196</v>
      </c>
      <c r="F68" s="759"/>
      <c r="G68" s="759" t="s">
        <v>197</v>
      </c>
      <c r="H68" s="759" t="s">
        <v>198</v>
      </c>
      <c r="I68" s="759" t="s">
        <v>199</v>
      </c>
      <c r="J68" s="759"/>
      <c r="K68" s="759" t="s">
        <v>200</v>
      </c>
      <c r="L68" s="759"/>
      <c r="M68" s="783" t="s">
        <v>208</v>
      </c>
      <c r="N68" s="783" t="s">
        <v>209</v>
      </c>
      <c r="O68" s="781">
        <v>0.41560000000000002</v>
      </c>
      <c r="P68" s="781">
        <v>0.41760000000000003</v>
      </c>
      <c r="Q68" s="781">
        <v>0.37040000000000001</v>
      </c>
      <c r="R68" s="781">
        <v>0.79049999999999998</v>
      </c>
      <c r="S68" s="782">
        <v>0.42699999999999999</v>
      </c>
      <c r="T68" s="790" t="s">
        <v>202</v>
      </c>
      <c r="U68" s="790"/>
    </row>
    <row r="69" spans="1:21" x14ac:dyDescent="0.25">
      <c r="A69" s="398"/>
      <c r="B69" s="757"/>
      <c r="C69" s="760"/>
      <c r="D69" s="760"/>
      <c r="E69" s="760"/>
      <c r="F69" s="760"/>
      <c r="G69" s="760"/>
      <c r="H69" s="760"/>
      <c r="I69" s="760"/>
      <c r="J69" s="760"/>
      <c r="K69" s="760"/>
      <c r="L69" s="760"/>
      <c r="M69" s="762"/>
      <c r="N69" s="762"/>
      <c r="O69" s="764"/>
      <c r="P69" s="757"/>
      <c r="Q69" s="757"/>
      <c r="R69" s="764"/>
      <c r="S69" s="768"/>
      <c r="T69" s="770" t="s">
        <v>203</v>
      </c>
      <c r="U69" s="770"/>
    </row>
    <row r="70" spans="1:21" x14ac:dyDescent="0.25">
      <c r="A70" s="398"/>
      <c r="B70" s="757"/>
      <c r="C70" s="760"/>
      <c r="D70" s="760"/>
      <c r="E70" s="760"/>
      <c r="F70" s="760"/>
      <c r="G70" s="760"/>
      <c r="H70" s="760"/>
      <c r="I70" s="760"/>
      <c r="J70" s="760"/>
      <c r="K70" s="760"/>
      <c r="L70" s="760"/>
      <c r="M70" s="762"/>
      <c r="N70" s="762"/>
      <c r="O70" s="764"/>
      <c r="P70" s="757"/>
      <c r="Q70" s="757"/>
      <c r="R70" s="764"/>
      <c r="S70" s="768"/>
      <c r="T70" s="770" t="s">
        <v>204</v>
      </c>
      <c r="U70" s="770"/>
    </row>
    <row r="71" spans="1:21" ht="37.5" customHeight="1" thickBot="1" x14ac:dyDescent="0.3">
      <c r="A71" s="398"/>
      <c r="B71" s="758"/>
      <c r="C71" s="761"/>
      <c r="D71" s="761"/>
      <c r="E71" s="761" t="s">
        <v>205</v>
      </c>
      <c r="F71" s="761"/>
      <c r="G71" s="761"/>
      <c r="H71" s="761"/>
      <c r="I71" s="761"/>
      <c r="J71" s="761"/>
      <c r="K71" s="761"/>
      <c r="L71" s="761"/>
      <c r="M71" s="763"/>
      <c r="N71" s="763"/>
      <c r="O71" s="765"/>
      <c r="P71" s="758"/>
      <c r="Q71" s="758"/>
      <c r="R71" s="765"/>
      <c r="S71" s="769"/>
      <c r="T71" s="771" t="s">
        <v>206</v>
      </c>
      <c r="U71" s="771"/>
    </row>
    <row r="72" spans="1:21" ht="32.25" customHeight="1" thickBot="1" x14ac:dyDescent="0.3">
      <c r="A72" s="398"/>
      <c r="B72" s="498"/>
      <c r="C72" s="779" t="s">
        <v>210</v>
      </c>
      <c r="D72" s="779"/>
      <c r="E72" s="779" t="s">
        <v>211</v>
      </c>
      <c r="F72" s="779"/>
      <c r="G72" s="499" t="s">
        <v>197</v>
      </c>
      <c r="H72" s="499" t="s">
        <v>198</v>
      </c>
      <c r="I72" s="779" t="s">
        <v>212</v>
      </c>
      <c r="J72" s="779"/>
      <c r="K72" s="779" t="s">
        <v>200</v>
      </c>
      <c r="L72" s="779"/>
      <c r="M72" s="498" t="s">
        <v>64</v>
      </c>
      <c r="N72" s="498" t="s">
        <v>64</v>
      </c>
      <c r="O72" s="500" t="s">
        <v>64</v>
      </c>
      <c r="P72" s="500">
        <v>0.32640000000000002</v>
      </c>
      <c r="Q72" s="500">
        <v>0.43859999999999999</v>
      </c>
      <c r="R72" s="500">
        <v>0.25</v>
      </c>
      <c r="S72" s="501">
        <v>0.36919999999999997</v>
      </c>
      <c r="T72" s="780" t="s">
        <v>213</v>
      </c>
      <c r="U72" s="780"/>
    </row>
    <row r="73" spans="1:21" x14ac:dyDescent="0.25">
      <c r="A73" s="398"/>
      <c r="B73" s="756"/>
      <c r="C73" s="759" t="s">
        <v>214</v>
      </c>
      <c r="D73" s="759"/>
      <c r="E73" s="759" t="s">
        <v>196</v>
      </c>
      <c r="F73" s="759"/>
      <c r="G73" s="759" t="s">
        <v>197</v>
      </c>
      <c r="H73" s="759" t="s">
        <v>198</v>
      </c>
      <c r="I73" s="759" t="s">
        <v>212</v>
      </c>
      <c r="J73" s="759"/>
      <c r="K73" s="759" t="s">
        <v>200</v>
      </c>
      <c r="L73" s="759"/>
      <c r="M73" s="783" t="s">
        <v>215</v>
      </c>
      <c r="N73" s="783" t="s">
        <v>215</v>
      </c>
      <c r="O73" s="756" t="s">
        <v>64</v>
      </c>
      <c r="P73" s="781">
        <v>0.30740000000000001</v>
      </c>
      <c r="Q73" s="781">
        <v>0.43859999999999999</v>
      </c>
      <c r="R73" s="781">
        <v>0.25</v>
      </c>
      <c r="S73" s="782">
        <v>0.36919999999999997</v>
      </c>
      <c r="T73" s="790" t="s">
        <v>202</v>
      </c>
      <c r="U73" s="790"/>
    </row>
    <row r="74" spans="1:21" x14ac:dyDescent="0.25">
      <c r="A74" s="398"/>
      <c r="B74" s="757"/>
      <c r="C74" s="760"/>
      <c r="D74" s="760"/>
      <c r="E74" s="760"/>
      <c r="F74" s="760"/>
      <c r="G74" s="760"/>
      <c r="H74" s="760"/>
      <c r="I74" s="760"/>
      <c r="J74" s="760"/>
      <c r="K74" s="760"/>
      <c r="L74" s="760"/>
      <c r="M74" s="762"/>
      <c r="N74" s="762"/>
      <c r="O74" s="757"/>
      <c r="P74" s="757"/>
      <c r="Q74" s="757"/>
      <c r="R74" s="764"/>
      <c r="S74" s="768"/>
      <c r="T74" s="770" t="s">
        <v>203</v>
      </c>
      <c r="U74" s="770"/>
    </row>
    <row r="75" spans="1:21" x14ac:dyDescent="0.25">
      <c r="A75" s="398"/>
      <c r="B75" s="757"/>
      <c r="C75" s="760"/>
      <c r="D75" s="760"/>
      <c r="E75" s="760"/>
      <c r="F75" s="760"/>
      <c r="G75" s="760"/>
      <c r="H75" s="760"/>
      <c r="I75" s="760"/>
      <c r="J75" s="760"/>
      <c r="K75" s="760"/>
      <c r="L75" s="760"/>
      <c r="M75" s="762"/>
      <c r="N75" s="762"/>
      <c r="O75" s="757"/>
      <c r="P75" s="757"/>
      <c r="Q75" s="757"/>
      <c r="R75" s="764"/>
      <c r="S75" s="768"/>
      <c r="T75" s="770" t="s">
        <v>204</v>
      </c>
      <c r="U75" s="770"/>
    </row>
    <row r="76" spans="1:21" ht="32.25" customHeight="1" thickBot="1" x14ac:dyDescent="0.3">
      <c r="A76" s="398"/>
      <c r="B76" s="758"/>
      <c r="C76" s="761"/>
      <c r="D76" s="761"/>
      <c r="E76" s="761" t="s">
        <v>205</v>
      </c>
      <c r="F76" s="761"/>
      <c r="G76" s="761"/>
      <c r="H76" s="761"/>
      <c r="I76" s="761"/>
      <c r="J76" s="761"/>
      <c r="K76" s="761"/>
      <c r="L76" s="761"/>
      <c r="M76" s="763"/>
      <c r="N76" s="763"/>
      <c r="O76" s="758"/>
      <c r="P76" s="758"/>
      <c r="Q76" s="758"/>
      <c r="R76" s="765"/>
      <c r="S76" s="769"/>
      <c r="T76" s="771" t="s">
        <v>206</v>
      </c>
      <c r="U76" s="771"/>
    </row>
    <row r="77" spans="1:21" ht="26.25" customHeight="1" thickBot="1" x14ac:dyDescent="0.3">
      <c r="A77" s="398"/>
      <c r="B77" s="498"/>
      <c r="C77" s="779" t="s">
        <v>216</v>
      </c>
      <c r="D77" s="779"/>
      <c r="E77" s="779" t="s">
        <v>217</v>
      </c>
      <c r="F77" s="779"/>
      <c r="G77" s="499" t="s">
        <v>197</v>
      </c>
      <c r="H77" s="499" t="s">
        <v>198</v>
      </c>
      <c r="I77" s="779" t="s">
        <v>199</v>
      </c>
      <c r="J77" s="779"/>
      <c r="K77" s="779" t="s">
        <v>200</v>
      </c>
      <c r="L77" s="779"/>
      <c r="M77" s="498" t="s">
        <v>64</v>
      </c>
      <c r="N77" s="498" t="s">
        <v>64</v>
      </c>
      <c r="O77" s="498" t="s">
        <v>64</v>
      </c>
      <c r="P77" s="500">
        <v>0.2</v>
      </c>
      <c r="Q77" s="502">
        <v>0.2286</v>
      </c>
      <c r="R77" s="500">
        <v>0.74360000000000004</v>
      </c>
      <c r="S77" s="501">
        <v>0.3871</v>
      </c>
      <c r="T77" s="780" t="s">
        <v>206</v>
      </c>
      <c r="U77" s="780"/>
    </row>
    <row r="78" spans="1:21" ht="27" customHeight="1" thickBot="1" x14ac:dyDescent="0.3">
      <c r="A78" s="398"/>
      <c r="B78" s="498"/>
      <c r="C78" s="779" t="s">
        <v>218</v>
      </c>
      <c r="D78" s="779"/>
      <c r="E78" s="779" t="s">
        <v>217</v>
      </c>
      <c r="F78" s="779"/>
      <c r="G78" s="499" t="s">
        <v>197</v>
      </c>
      <c r="H78" s="499" t="s">
        <v>198</v>
      </c>
      <c r="I78" s="779" t="s">
        <v>199</v>
      </c>
      <c r="J78" s="779"/>
      <c r="K78" s="779" t="s">
        <v>200</v>
      </c>
      <c r="L78" s="779"/>
      <c r="M78" s="498" t="s">
        <v>64</v>
      </c>
      <c r="N78" s="498" t="s">
        <v>64</v>
      </c>
      <c r="O78" s="498" t="s">
        <v>64</v>
      </c>
      <c r="P78" s="500">
        <v>0.23530000000000001</v>
      </c>
      <c r="Q78" s="500">
        <v>0.17019999999999999</v>
      </c>
      <c r="R78" s="500">
        <v>0.65910000000000002</v>
      </c>
      <c r="S78" s="501">
        <v>0.2571</v>
      </c>
      <c r="T78" s="780" t="s">
        <v>206</v>
      </c>
      <c r="U78" s="780"/>
    </row>
    <row r="79" spans="1:21" ht="37.5" customHeight="1" thickBot="1" x14ac:dyDescent="0.3">
      <c r="A79" s="398"/>
      <c r="B79" s="498"/>
      <c r="C79" s="779" t="s">
        <v>1331</v>
      </c>
      <c r="D79" s="779"/>
      <c r="E79" s="779" t="s">
        <v>217</v>
      </c>
      <c r="F79" s="779"/>
      <c r="G79" s="499" t="s">
        <v>197</v>
      </c>
      <c r="H79" s="499" t="s">
        <v>198</v>
      </c>
      <c r="I79" s="779" t="s">
        <v>199</v>
      </c>
      <c r="J79" s="779"/>
      <c r="K79" s="779" t="s">
        <v>200</v>
      </c>
      <c r="L79" s="779"/>
      <c r="M79" s="498" t="s">
        <v>64</v>
      </c>
      <c r="N79" s="498" t="s">
        <v>64</v>
      </c>
      <c r="O79" s="498" t="s">
        <v>64</v>
      </c>
      <c r="P79" s="500">
        <v>0.20730000000000001</v>
      </c>
      <c r="Q79" s="500">
        <v>0.37219999999999998</v>
      </c>
      <c r="R79" s="500">
        <v>0.63329999999999997</v>
      </c>
      <c r="S79" s="501">
        <v>0.32629999999999998</v>
      </c>
      <c r="T79" s="780"/>
      <c r="U79" s="780"/>
    </row>
    <row r="80" spans="1:21" ht="36" customHeight="1" x14ac:dyDescent="0.25">
      <c r="A80" s="398"/>
      <c r="B80" s="496"/>
      <c r="C80" s="760" t="s">
        <v>1332</v>
      </c>
      <c r="D80" s="760"/>
      <c r="E80" s="760" t="s">
        <v>205</v>
      </c>
      <c r="F80" s="760"/>
      <c r="G80" s="491" t="s">
        <v>197</v>
      </c>
      <c r="H80" s="491" t="s">
        <v>198</v>
      </c>
      <c r="I80" s="760" t="s">
        <v>199</v>
      </c>
      <c r="J80" s="760"/>
      <c r="K80" s="760" t="s">
        <v>200</v>
      </c>
      <c r="L80" s="760"/>
      <c r="M80" s="492" t="s">
        <v>64</v>
      </c>
      <c r="N80" s="492" t="s">
        <v>64</v>
      </c>
      <c r="O80" s="492" t="s">
        <v>64</v>
      </c>
      <c r="P80" s="493">
        <v>0.27979999999999999</v>
      </c>
      <c r="Q80" s="493">
        <v>0.44390000000000002</v>
      </c>
      <c r="R80" s="493" t="s">
        <v>64</v>
      </c>
      <c r="S80" s="494" t="s">
        <v>64</v>
      </c>
      <c r="T80" s="770"/>
      <c r="U80" s="770"/>
    </row>
    <row r="81" spans="1:21" x14ac:dyDescent="0.25">
      <c r="A81" s="398"/>
      <c r="B81" s="774" t="s">
        <v>219</v>
      </c>
      <c r="C81" s="774"/>
      <c r="D81" s="774"/>
      <c r="E81" s="774"/>
      <c r="F81" s="787"/>
      <c r="G81" s="787"/>
      <c r="H81" s="787"/>
      <c r="I81" s="787"/>
      <c r="J81" s="525"/>
      <c r="K81" s="774"/>
      <c r="L81" s="774"/>
      <c r="M81" s="774"/>
      <c r="N81" s="774"/>
      <c r="O81" s="774"/>
      <c r="P81" s="774"/>
      <c r="Q81" s="787"/>
      <c r="R81" s="787"/>
      <c r="S81" s="787"/>
      <c r="T81" s="787"/>
      <c r="U81" s="787"/>
    </row>
    <row r="82" spans="1:21" ht="35.25" customHeight="1" x14ac:dyDescent="0.25">
      <c r="A82" s="398"/>
      <c r="B82" s="757"/>
      <c r="C82" s="760" t="s">
        <v>1325</v>
      </c>
      <c r="D82" s="760"/>
      <c r="E82" s="760" t="s">
        <v>220</v>
      </c>
      <c r="F82" s="760"/>
      <c r="G82" s="760" t="s">
        <v>197</v>
      </c>
      <c r="H82" s="760" t="s">
        <v>198</v>
      </c>
      <c r="I82" s="760" t="s">
        <v>199</v>
      </c>
      <c r="J82" s="760"/>
      <c r="K82" s="760" t="s">
        <v>200</v>
      </c>
      <c r="L82" s="760"/>
      <c r="M82" s="760" t="s">
        <v>64</v>
      </c>
      <c r="N82" s="760" t="s">
        <v>64</v>
      </c>
      <c r="O82" s="760" t="s">
        <v>64</v>
      </c>
      <c r="P82" s="760" t="s">
        <v>64</v>
      </c>
      <c r="Q82" s="760" t="s">
        <v>64</v>
      </c>
      <c r="R82" s="760" t="s">
        <v>64</v>
      </c>
      <c r="S82" s="770" t="s">
        <v>64</v>
      </c>
      <c r="T82" s="770"/>
      <c r="U82" s="770"/>
    </row>
    <row r="83" spans="1:21" ht="36" customHeight="1" x14ac:dyDescent="0.25">
      <c r="A83" s="398"/>
      <c r="B83" s="757"/>
      <c r="C83" s="760"/>
      <c r="D83" s="760"/>
      <c r="E83" s="760" t="s">
        <v>221</v>
      </c>
      <c r="F83" s="760"/>
      <c r="G83" s="760"/>
      <c r="H83" s="760"/>
      <c r="I83" s="760"/>
      <c r="J83" s="760"/>
      <c r="K83" s="760"/>
      <c r="L83" s="760"/>
      <c r="M83" s="760"/>
      <c r="N83" s="760"/>
      <c r="O83" s="760"/>
      <c r="P83" s="760"/>
      <c r="Q83" s="760"/>
      <c r="R83" s="760"/>
      <c r="S83" s="770"/>
      <c r="T83" s="770"/>
      <c r="U83" s="770"/>
    </row>
    <row r="84" spans="1:21" ht="26.25" customHeight="1" x14ac:dyDescent="0.25">
      <c r="A84" s="398"/>
      <c r="B84" s="757"/>
      <c r="C84" s="760"/>
      <c r="D84" s="760"/>
      <c r="E84" s="760" t="s">
        <v>222</v>
      </c>
      <c r="F84" s="760"/>
      <c r="G84" s="760"/>
      <c r="H84" s="760"/>
      <c r="I84" s="760"/>
      <c r="J84" s="760"/>
      <c r="K84" s="760"/>
      <c r="L84" s="760"/>
      <c r="M84" s="760"/>
      <c r="N84" s="760"/>
      <c r="O84" s="760"/>
      <c r="P84" s="760"/>
      <c r="Q84" s="760"/>
      <c r="R84" s="760"/>
      <c r="S84" s="770"/>
      <c r="T84" s="770"/>
      <c r="U84" s="770"/>
    </row>
    <row r="85" spans="1:21" ht="42.75" customHeight="1" x14ac:dyDescent="0.25">
      <c r="A85" s="398"/>
      <c r="B85" s="757"/>
      <c r="C85" s="760"/>
      <c r="D85" s="760"/>
      <c r="E85" s="760" t="s">
        <v>223</v>
      </c>
      <c r="F85" s="760"/>
      <c r="G85" s="760"/>
      <c r="H85" s="760"/>
      <c r="I85" s="760"/>
      <c r="J85" s="760"/>
      <c r="K85" s="760"/>
      <c r="L85" s="760"/>
      <c r="M85" s="760"/>
      <c r="N85" s="760"/>
      <c r="O85" s="760"/>
      <c r="P85" s="760"/>
      <c r="Q85" s="760"/>
      <c r="R85" s="760"/>
      <c r="S85" s="770"/>
      <c r="T85" s="770"/>
      <c r="U85" s="770"/>
    </row>
    <row r="86" spans="1:21" ht="25.5" customHeight="1" x14ac:dyDescent="0.25">
      <c r="A86" s="398"/>
      <c r="B86" s="757"/>
      <c r="C86" s="760"/>
      <c r="D86" s="760"/>
      <c r="E86" s="760" t="s">
        <v>224</v>
      </c>
      <c r="F86" s="760"/>
      <c r="G86" s="760"/>
      <c r="H86" s="760"/>
      <c r="I86" s="760"/>
      <c r="J86" s="760"/>
      <c r="K86" s="760"/>
      <c r="L86" s="760"/>
      <c r="M86" s="760"/>
      <c r="N86" s="760"/>
      <c r="O86" s="760"/>
      <c r="P86" s="760"/>
      <c r="Q86" s="760"/>
      <c r="R86" s="760"/>
      <c r="S86" s="770"/>
      <c r="T86" s="770"/>
      <c r="U86" s="770"/>
    </row>
    <row r="87" spans="1:21" ht="28.5" customHeight="1" x14ac:dyDescent="0.25">
      <c r="A87" s="398"/>
      <c r="B87" s="757"/>
      <c r="C87" s="760"/>
      <c r="D87" s="760"/>
      <c r="E87" s="760" t="s">
        <v>225</v>
      </c>
      <c r="F87" s="760"/>
      <c r="G87" s="760"/>
      <c r="H87" s="760"/>
      <c r="I87" s="760"/>
      <c r="J87" s="760"/>
      <c r="K87" s="760"/>
      <c r="L87" s="760"/>
      <c r="M87" s="760"/>
      <c r="N87" s="760"/>
      <c r="O87" s="760"/>
      <c r="P87" s="760"/>
      <c r="Q87" s="760"/>
      <c r="R87" s="760"/>
      <c r="S87" s="770"/>
      <c r="T87" s="770"/>
      <c r="U87" s="770"/>
    </row>
    <row r="88" spans="1:21" ht="23.25" customHeight="1" x14ac:dyDescent="0.25">
      <c r="A88" s="398"/>
      <c r="B88" s="757"/>
      <c r="C88" s="760"/>
      <c r="D88" s="760"/>
      <c r="E88" s="760" t="s">
        <v>226</v>
      </c>
      <c r="F88" s="760"/>
      <c r="G88" s="760"/>
      <c r="H88" s="760"/>
      <c r="I88" s="760"/>
      <c r="J88" s="760"/>
      <c r="K88" s="760"/>
      <c r="L88" s="760"/>
      <c r="M88" s="760"/>
      <c r="N88" s="760"/>
      <c r="O88" s="760"/>
      <c r="P88" s="760"/>
      <c r="Q88" s="760"/>
      <c r="R88" s="760"/>
      <c r="S88" s="770"/>
      <c r="T88" s="770"/>
      <c r="U88" s="770"/>
    </row>
    <row r="89" spans="1:21" ht="24" customHeight="1" x14ac:dyDescent="0.25">
      <c r="A89" s="398"/>
      <c r="B89" s="757"/>
      <c r="C89" s="760"/>
      <c r="D89" s="760"/>
      <c r="E89" s="760" t="s">
        <v>227</v>
      </c>
      <c r="F89" s="760"/>
      <c r="G89" s="760"/>
      <c r="H89" s="760"/>
      <c r="I89" s="760"/>
      <c r="J89" s="760"/>
      <c r="K89" s="760"/>
      <c r="L89" s="760"/>
      <c r="M89" s="760"/>
      <c r="N89" s="760"/>
      <c r="O89" s="760"/>
      <c r="P89" s="760"/>
      <c r="Q89" s="760"/>
      <c r="R89" s="760"/>
      <c r="S89" s="770"/>
      <c r="T89" s="770"/>
      <c r="U89" s="770"/>
    </row>
    <row r="90" spans="1:21" ht="34.5" customHeight="1" thickBot="1" x14ac:dyDescent="0.3">
      <c r="A90" s="398"/>
      <c r="B90" s="758"/>
      <c r="C90" s="761"/>
      <c r="D90" s="761"/>
      <c r="E90" s="761" t="s">
        <v>228</v>
      </c>
      <c r="F90" s="761"/>
      <c r="G90" s="761"/>
      <c r="H90" s="761"/>
      <c r="I90" s="761"/>
      <c r="J90" s="761"/>
      <c r="K90" s="761"/>
      <c r="L90" s="761"/>
      <c r="M90" s="761"/>
      <c r="N90" s="761"/>
      <c r="O90" s="761"/>
      <c r="P90" s="761"/>
      <c r="Q90" s="761"/>
      <c r="R90" s="761"/>
      <c r="S90" s="771"/>
      <c r="T90" s="771"/>
      <c r="U90" s="771"/>
    </row>
    <row r="91" spans="1:21" ht="49.5" customHeight="1" thickBot="1" x14ac:dyDescent="0.3">
      <c r="A91" s="398"/>
      <c r="B91" s="498"/>
      <c r="C91" s="788" t="s">
        <v>1326</v>
      </c>
      <c r="D91" s="788"/>
      <c r="E91" s="779" t="s">
        <v>229</v>
      </c>
      <c r="F91" s="779"/>
      <c r="G91" s="499" t="s">
        <v>197</v>
      </c>
      <c r="H91" s="499" t="s">
        <v>198</v>
      </c>
      <c r="I91" s="779" t="s">
        <v>199</v>
      </c>
      <c r="J91" s="779"/>
      <c r="K91" s="779" t="s">
        <v>200</v>
      </c>
      <c r="L91" s="779"/>
      <c r="M91" s="503" t="s">
        <v>64</v>
      </c>
      <c r="N91" s="503" t="s">
        <v>64</v>
      </c>
      <c r="O91" s="503" t="s">
        <v>64</v>
      </c>
      <c r="P91" s="500">
        <v>0.4375</v>
      </c>
      <c r="Q91" s="500">
        <v>0.32250000000000001</v>
      </c>
      <c r="R91" s="500">
        <v>0.67649999999999999</v>
      </c>
      <c r="S91" s="501">
        <v>0.58823529411764708</v>
      </c>
      <c r="T91" s="504"/>
      <c r="U91" s="505"/>
    </row>
    <row r="92" spans="1:21" ht="33.75" customHeight="1" x14ac:dyDescent="0.25">
      <c r="A92" s="398"/>
      <c r="B92" s="492"/>
      <c r="C92" s="741" t="s">
        <v>1327</v>
      </c>
      <c r="D92" s="741"/>
      <c r="E92" s="760" t="s">
        <v>230</v>
      </c>
      <c r="F92" s="760"/>
      <c r="G92" s="491" t="s">
        <v>197</v>
      </c>
      <c r="H92" s="491" t="s">
        <v>198</v>
      </c>
      <c r="I92" s="760" t="s">
        <v>199</v>
      </c>
      <c r="J92" s="760"/>
      <c r="K92" s="760" t="s">
        <v>200</v>
      </c>
      <c r="L92" s="760"/>
      <c r="M92" s="492" t="s">
        <v>64</v>
      </c>
      <c r="N92" s="492" t="s">
        <v>64</v>
      </c>
      <c r="O92" s="492" t="s">
        <v>64</v>
      </c>
      <c r="P92" s="493">
        <v>0.88880000000000003</v>
      </c>
      <c r="Q92" s="494">
        <v>0.5</v>
      </c>
      <c r="R92" s="492" t="s">
        <v>64</v>
      </c>
      <c r="S92" s="494">
        <v>0.875</v>
      </c>
      <c r="T92" s="497"/>
      <c r="U92" s="398"/>
    </row>
    <row r="93" spans="1:21" x14ac:dyDescent="0.25">
      <c r="A93" s="398"/>
      <c r="B93" s="774" t="s">
        <v>231</v>
      </c>
      <c r="C93" s="774"/>
      <c r="D93" s="774"/>
      <c r="E93" s="774"/>
      <c r="F93" s="787"/>
      <c r="G93" s="787"/>
      <c r="H93" s="787"/>
      <c r="I93" s="787"/>
      <c r="J93" s="525"/>
      <c r="K93" s="789"/>
      <c r="L93" s="789"/>
      <c r="M93" s="789"/>
      <c r="N93" s="789"/>
      <c r="O93" s="787"/>
      <c r="P93" s="787"/>
      <c r="Q93" s="787"/>
      <c r="R93" s="787"/>
      <c r="S93" s="787"/>
      <c r="T93" s="787"/>
      <c r="U93" s="787"/>
    </row>
    <row r="94" spans="1:21" x14ac:dyDescent="0.25">
      <c r="A94" s="398"/>
      <c r="B94" s="772"/>
      <c r="C94" s="741" t="s">
        <v>232</v>
      </c>
      <c r="D94" s="741"/>
      <c r="E94" s="760" t="s">
        <v>196</v>
      </c>
      <c r="F94" s="760"/>
      <c r="G94" s="760" t="s">
        <v>197</v>
      </c>
      <c r="H94" s="760" t="s">
        <v>198</v>
      </c>
      <c r="I94" s="760" t="s">
        <v>199</v>
      </c>
      <c r="J94" s="760"/>
      <c r="K94" s="760" t="s">
        <v>200</v>
      </c>
      <c r="L94" s="760"/>
      <c r="M94" s="757" t="s">
        <v>64</v>
      </c>
      <c r="N94" s="757" t="s">
        <v>64</v>
      </c>
      <c r="O94" s="764">
        <v>0.41560000000000002</v>
      </c>
      <c r="P94" s="764">
        <v>0.2</v>
      </c>
      <c r="Q94" s="764">
        <v>0.1186</v>
      </c>
      <c r="R94" s="764">
        <v>0.45829999999999999</v>
      </c>
      <c r="S94" s="768">
        <v>0.1666</v>
      </c>
      <c r="T94" s="760"/>
      <c r="U94" s="760"/>
    </row>
    <row r="95" spans="1:21" ht="36" customHeight="1" thickBot="1" x14ac:dyDescent="0.3">
      <c r="A95" s="398"/>
      <c r="B95" s="773"/>
      <c r="C95" s="746"/>
      <c r="D95" s="746"/>
      <c r="E95" s="761" t="s">
        <v>205</v>
      </c>
      <c r="F95" s="761"/>
      <c r="G95" s="761"/>
      <c r="H95" s="761"/>
      <c r="I95" s="761"/>
      <c r="J95" s="761"/>
      <c r="K95" s="761"/>
      <c r="L95" s="761"/>
      <c r="M95" s="758"/>
      <c r="N95" s="758"/>
      <c r="O95" s="758"/>
      <c r="P95" s="758"/>
      <c r="Q95" s="758"/>
      <c r="R95" s="765"/>
      <c r="S95" s="769"/>
      <c r="T95" s="761"/>
      <c r="U95" s="761"/>
    </row>
    <row r="96" spans="1:21" x14ac:dyDescent="0.25">
      <c r="A96" s="398"/>
      <c r="B96" s="757"/>
      <c r="C96" s="760" t="s">
        <v>1328</v>
      </c>
      <c r="D96" s="760"/>
      <c r="E96" s="760" t="s">
        <v>233</v>
      </c>
      <c r="F96" s="760"/>
      <c r="G96" s="760" t="s">
        <v>197</v>
      </c>
      <c r="H96" s="760" t="s">
        <v>198</v>
      </c>
      <c r="I96" s="760" t="s">
        <v>199</v>
      </c>
      <c r="J96" s="760"/>
      <c r="K96" s="760" t="s">
        <v>902</v>
      </c>
      <c r="L96" s="760"/>
      <c r="M96" s="757" t="s">
        <v>64</v>
      </c>
      <c r="N96" s="757" t="s">
        <v>64</v>
      </c>
      <c r="O96" s="757" t="s">
        <v>64</v>
      </c>
      <c r="P96" s="757" t="s">
        <v>64</v>
      </c>
      <c r="Q96" s="757" t="s">
        <v>64</v>
      </c>
      <c r="R96" s="768">
        <v>0.34799999999999998</v>
      </c>
      <c r="S96" s="768">
        <v>0.32300000000000001</v>
      </c>
      <c r="T96" s="760" t="s">
        <v>202</v>
      </c>
      <c r="U96" s="760"/>
    </row>
    <row r="97" spans="1:21" x14ac:dyDescent="0.25">
      <c r="A97" s="398"/>
      <c r="B97" s="757"/>
      <c r="C97" s="760"/>
      <c r="D97" s="760"/>
      <c r="E97" s="760" t="s">
        <v>196</v>
      </c>
      <c r="F97" s="760"/>
      <c r="G97" s="760"/>
      <c r="H97" s="760"/>
      <c r="I97" s="760"/>
      <c r="J97" s="760"/>
      <c r="K97" s="760"/>
      <c r="L97" s="760"/>
      <c r="M97" s="757"/>
      <c r="N97" s="757"/>
      <c r="O97" s="757"/>
      <c r="P97" s="757"/>
      <c r="Q97" s="757"/>
      <c r="R97" s="785"/>
      <c r="S97" s="785"/>
      <c r="T97" s="760" t="s">
        <v>203</v>
      </c>
      <c r="U97" s="760"/>
    </row>
    <row r="98" spans="1:21" x14ac:dyDescent="0.25">
      <c r="A98" s="398"/>
      <c r="B98" s="757"/>
      <c r="C98" s="760"/>
      <c r="D98" s="760"/>
      <c r="E98" s="760" t="s">
        <v>205</v>
      </c>
      <c r="F98" s="760"/>
      <c r="G98" s="760"/>
      <c r="H98" s="760"/>
      <c r="I98" s="760"/>
      <c r="J98" s="760"/>
      <c r="K98" s="760"/>
      <c r="L98" s="760"/>
      <c r="M98" s="757"/>
      <c r="N98" s="757"/>
      <c r="O98" s="757"/>
      <c r="P98" s="757"/>
      <c r="Q98" s="757"/>
      <c r="R98" s="785"/>
      <c r="S98" s="785"/>
      <c r="T98" s="760" t="s">
        <v>213</v>
      </c>
      <c r="U98" s="760"/>
    </row>
    <row r="99" spans="1:21" x14ac:dyDescent="0.25">
      <c r="A99" s="398"/>
      <c r="B99" s="757"/>
      <c r="C99" s="760"/>
      <c r="D99" s="760"/>
      <c r="E99" s="760"/>
      <c r="F99" s="760"/>
      <c r="G99" s="760"/>
      <c r="H99" s="760"/>
      <c r="I99" s="760"/>
      <c r="J99" s="760"/>
      <c r="K99" s="760"/>
      <c r="L99" s="760"/>
      <c r="M99" s="757"/>
      <c r="N99" s="757"/>
      <c r="O99" s="757"/>
      <c r="P99" s="757"/>
      <c r="Q99" s="757"/>
      <c r="R99" s="785"/>
      <c r="S99" s="785"/>
      <c r="T99" s="760" t="s">
        <v>204</v>
      </c>
      <c r="U99" s="760"/>
    </row>
    <row r="100" spans="1:21" ht="15.75" thickBot="1" x14ac:dyDescent="0.3">
      <c r="A100" s="398"/>
      <c r="B100" s="758"/>
      <c r="C100" s="761"/>
      <c r="D100" s="761"/>
      <c r="E100" s="761"/>
      <c r="F100" s="761"/>
      <c r="G100" s="761"/>
      <c r="H100" s="761"/>
      <c r="I100" s="761"/>
      <c r="J100" s="761"/>
      <c r="K100" s="761"/>
      <c r="L100" s="761"/>
      <c r="M100" s="758"/>
      <c r="N100" s="758"/>
      <c r="O100" s="758"/>
      <c r="P100" s="758"/>
      <c r="Q100" s="758"/>
      <c r="R100" s="784"/>
      <c r="S100" s="784"/>
      <c r="T100" s="761" t="s">
        <v>206</v>
      </c>
      <c r="U100" s="761"/>
    </row>
    <row r="101" spans="1:21" x14ac:dyDescent="0.25">
      <c r="A101" s="398"/>
      <c r="B101" s="757"/>
      <c r="C101" s="760" t="s">
        <v>1329</v>
      </c>
      <c r="D101" s="760"/>
      <c r="E101" s="760" t="s">
        <v>234</v>
      </c>
      <c r="F101" s="760"/>
      <c r="G101" s="760" t="s">
        <v>197</v>
      </c>
      <c r="H101" s="760" t="s">
        <v>198</v>
      </c>
      <c r="I101" s="760" t="s">
        <v>235</v>
      </c>
      <c r="J101" s="760"/>
      <c r="K101" s="760" t="s">
        <v>902</v>
      </c>
      <c r="L101" s="760"/>
      <c r="M101" s="757" t="s">
        <v>64</v>
      </c>
      <c r="N101" s="757" t="s">
        <v>64</v>
      </c>
      <c r="O101" s="757" t="s">
        <v>64</v>
      </c>
      <c r="P101" s="757" t="s">
        <v>64</v>
      </c>
      <c r="Q101" s="757" t="s">
        <v>64</v>
      </c>
      <c r="R101" s="785" t="s">
        <v>64</v>
      </c>
      <c r="S101" s="768">
        <v>0.24</v>
      </c>
      <c r="T101" s="760" t="s">
        <v>206</v>
      </c>
      <c r="U101" s="760"/>
    </row>
    <row r="102" spans="1:21" ht="30.75" customHeight="1" thickBot="1" x14ac:dyDescent="0.3">
      <c r="A102" s="398"/>
      <c r="B102" s="758"/>
      <c r="C102" s="761"/>
      <c r="D102" s="761"/>
      <c r="E102" s="761" t="s">
        <v>236</v>
      </c>
      <c r="F102" s="761"/>
      <c r="G102" s="761"/>
      <c r="H102" s="761"/>
      <c r="I102" s="761"/>
      <c r="J102" s="761"/>
      <c r="K102" s="761"/>
      <c r="L102" s="761"/>
      <c r="M102" s="758"/>
      <c r="N102" s="758"/>
      <c r="O102" s="758"/>
      <c r="P102" s="758"/>
      <c r="Q102" s="758"/>
      <c r="R102" s="784"/>
      <c r="S102" s="784"/>
      <c r="T102" s="761"/>
      <c r="U102" s="761"/>
    </row>
    <row r="103" spans="1:21" x14ac:dyDescent="0.25">
      <c r="A103" s="398"/>
      <c r="B103" s="756"/>
      <c r="C103" s="786" t="s">
        <v>1330</v>
      </c>
      <c r="D103" s="786"/>
      <c r="E103" s="759" t="s">
        <v>234</v>
      </c>
      <c r="F103" s="759"/>
      <c r="G103" s="759" t="s">
        <v>197</v>
      </c>
      <c r="H103" s="759" t="s">
        <v>237</v>
      </c>
      <c r="I103" s="756" t="s">
        <v>64</v>
      </c>
      <c r="J103" s="756"/>
      <c r="K103" s="759" t="s">
        <v>200</v>
      </c>
      <c r="L103" s="759"/>
      <c r="M103" s="756" t="s">
        <v>64</v>
      </c>
      <c r="N103" s="756" t="s">
        <v>64</v>
      </c>
      <c r="O103" s="756" t="s">
        <v>64</v>
      </c>
      <c r="P103" s="756" t="s">
        <v>64</v>
      </c>
      <c r="Q103" s="756" t="s">
        <v>64</v>
      </c>
      <c r="R103" s="776" t="s">
        <v>64</v>
      </c>
      <c r="S103" s="776" t="s">
        <v>64</v>
      </c>
      <c r="T103" s="759"/>
      <c r="U103" s="759"/>
    </row>
    <row r="104" spans="1:21" ht="30.75" customHeight="1" thickBot="1" x14ac:dyDescent="0.3">
      <c r="A104" s="398"/>
      <c r="B104" s="775"/>
      <c r="C104" s="743"/>
      <c r="D104" s="743"/>
      <c r="E104" s="743" t="s">
        <v>236</v>
      </c>
      <c r="F104" s="743"/>
      <c r="G104" s="778"/>
      <c r="H104" s="778"/>
      <c r="I104" s="775"/>
      <c r="J104" s="775"/>
      <c r="K104" s="778"/>
      <c r="L104" s="778"/>
      <c r="M104" s="775"/>
      <c r="N104" s="775"/>
      <c r="O104" s="775"/>
      <c r="P104" s="775"/>
      <c r="Q104" s="775"/>
      <c r="R104" s="777"/>
      <c r="S104" s="777"/>
      <c r="T104" s="778"/>
      <c r="U104" s="778"/>
    </row>
    <row r="106" spans="1:21" x14ac:dyDescent="0.25">
      <c r="B106" s="40" t="s">
        <v>238</v>
      </c>
    </row>
    <row r="107" spans="1:21" x14ac:dyDescent="0.25">
      <c r="B107" s="40" t="s">
        <v>239</v>
      </c>
    </row>
    <row r="108" spans="1:21" x14ac:dyDescent="0.25">
      <c r="B108" s="40" t="s">
        <v>240</v>
      </c>
    </row>
  </sheetData>
  <mergeCells count="441">
    <mergeCell ref="G103:G104"/>
    <mergeCell ref="H103:H104"/>
    <mergeCell ref="M103:M104"/>
    <mergeCell ref="N103:N104"/>
    <mergeCell ref="O103:O104"/>
    <mergeCell ref="R103:R104"/>
    <mergeCell ref="S103:S104"/>
    <mergeCell ref="C103:D104"/>
    <mergeCell ref="E103:F103"/>
    <mergeCell ref="I103:J104"/>
    <mergeCell ref="K103:L104"/>
    <mergeCell ref="T103:U104"/>
    <mergeCell ref="E104:F104"/>
    <mergeCell ref="B60:C60"/>
    <mergeCell ref="D60:E60"/>
    <mergeCell ref="F60:G60"/>
    <mergeCell ref="H60:I60"/>
    <mergeCell ref="K60:L60"/>
    <mergeCell ref="M60:N60"/>
    <mergeCell ref="O60:P60"/>
    <mergeCell ref="Q60:R60"/>
    <mergeCell ref="S60:U60"/>
    <mergeCell ref="B101:B102"/>
    <mergeCell ref="G101:G102"/>
    <mergeCell ref="N101:N102"/>
    <mergeCell ref="O101:O102"/>
    <mergeCell ref="P101:P102"/>
    <mergeCell ref="Q101:Q102"/>
    <mergeCell ref="R101:R102"/>
    <mergeCell ref="S101:S102"/>
    <mergeCell ref="B103:B104"/>
    <mergeCell ref="E98:F100"/>
    <mergeCell ref="T98:U98"/>
    <mergeCell ref="T99:U99"/>
    <mergeCell ref="T100:U100"/>
    <mergeCell ref="C101:D102"/>
    <mergeCell ref="E101:F101"/>
    <mergeCell ref="I101:J102"/>
    <mergeCell ref="K101:L102"/>
    <mergeCell ref="T101:U102"/>
    <mergeCell ref="E102:F102"/>
    <mergeCell ref="C91:D91"/>
    <mergeCell ref="E91:F91"/>
    <mergeCell ref="I91:J91"/>
    <mergeCell ref="K91:L91"/>
    <mergeCell ref="C92:D92"/>
    <mergeCell ref="E92:F92"/>
    <mergeCell ref="I92:J92"/>
    <mergeCell ref="K92:L92"/>
    <mergeCell ref="B93:E93"/>
    <mergeCell ref="F93:I93"/>
    <mergeCell ref="K93:N93"/>
    <mergeCell ref="H94:H95"/>
    <mergeCell ref="M94:M95"/>
    <mergeCell ref="O93:U93"/>
    <mergeCell ref="C94:D95"/>
    <mergeCell ref="E94:F94"/>
    <mergeCell ref="I94:J95"/>
    <mergeCell ref="K94:L95"/>
    <mergeCell ref="C82:D90"/>
    <mergeCell ref="E82:F82"/>
    <mergeCell ref="I82:J90"/>
    <mergeCell ref="K82:L90"/>
    <mergeCell ref="T82:U90"/>
    <mergeCell ref="E83:F83"/>
    <mergeCell ref="E84:F84"/>
    <mergeCell ref="E85:F85"/>
    <mergeCell ref="E86:F86"/>
    <mergeCell ref="E87:F87"/>
    <mergeCell ref="E88:F88"/>
    <mergeCell ref="E89:F89"/>
    <mergeCell ref="E90:F90"/>
    <mergeCell ref="S82:S90"/>
    <mergeCell ref="R82:R90"/>
    <mergeCell ref="M82:M90"/>
    <mergeCell ref="N82:N90"/>
    <mergeCell ref="O82:O90"/>
    <mergeCell ref="P82:P90"/>
    <mergeCell ref="Q82:Q90"/>
    <mergeCell ref="C80:D80"/>
    <mergeCell ref="E80:F80"/>
    <mergeCell ref="I80:J80"/>
    <mergeCell ref="K80:L80"/>
    <mergeCell ref="T80:U80"/>
    <mergeCell ref="B81:E81"/>
    <mergeCell ref="F81:G81"/>
    <mergeCell ref="H81:I81"/>
    <mergeCell ref="K81:L81"/>
    <mergeCell ref="M81:N81"/>
    <mergeCell ref="O81:P81"/>
    <mergeCell ref="Q81:U81"/>
    <mergeCell ref="C78:D78"/>
    <mergeCell ref="E78:F78"/>
    <mergeCell ref="I78:J78"/>
    <mergeCell ref="K78:L78"/>
    <mergeCell ref="T78:U78"/>
    <mergeCell ref="C79:D79"/>
    <mergeCell ref="E79:F79"/>
    <mergeCell ref="I79:J79"/>
    <mergeCell ref="K79:L79"/>
    <mergeCell ref="T79:U79"/>
    <mergeCell ref="C72:D72"/>
    <mergeCell ref="E72:F72"/>
    <mergeCell ref="I72:J72"/>
    <mergeCell ref="K72:L72"/>
    <mergeCell ref="T72:U72"/>
    <mergeCell ref="C73:D76"/>
    <mergeCell ref="E73:F75"/>
    <mergeCell ref="I73:J76"/>
    <mergeCell ref="K73:L76"/>
    <mergeCell ref="T73:U73"/>
    <mergeCell ref="T74:U74"/>
    <mergeCell ref="T75:U75"/>
    <mergeCell ref="E76:F76"/>
    <mergeCell ref="T76:U76"/>
    <mergeCell ref="M73:M76"/>
    <mergeCell ref="N73:N76"/>
    <mergeCell ref="O73:O76"/>
    <mergeCell ref="P73:P76"/>
    <mergeCell ref="C68:D71"/>
    <mergeCell ref="E68:F70"/>
    <mergeCell ref="I68:J71"/>
    <mergeCell ref="K68:L71"/>
    <mergeCell ref="T68:U68"/>
    <mergeCell ref="T69:U69"/>
    <mergeCell ref="T70:U70"/>
    <mergeCell ref="E71:F71"/>
    <mergeCell ref="T71:U71"/>
    <mergeCell ref="F63:G63"/>
    <mergeCell ref="H63:I63"/>
    <mergeCell ref="K63:L63"/>
    <mergeCell ref="M63:N63"/>
    <mergeCell ref="O63:P63"/>
    <mergeCell ref="Q63:R63"/>
    <mergeCell ref="S63:U63"/>
    <mergeCell ref="C64:D67"/>
    <mergeCell ref="E64:F66"/>
    <mergeCell ref="I64:J67"/>
    <mergeCell ref="K64:L67"/>
    <mergeCell ref="T64:U64"/>
    <mergeCell ref="T65:U65"/>
    <mergeCell ref="T66:U66"/>
    <mergeCell ref="E67:F67"/>
    <mergeCell ref="T67:U67"/>
    <mergeCell ref="T56:U57"/>
    <mergeCell ref="K56:L57"/>
    <mergeCell ref="K54:L55"/>
    <mergeCell ref="K49:L53"/>
    <mergeCell ref="K47:L48"/>
    <mergeCell ref="S16:U16"/>
    <mergeCell ref="T24:U24"/>
    <mergeCell ref="T23:U23"/>
    <mergeCell ref="T22:U22"/>
    <mergeCell ref="T21:U21"/>
    <mergeCell ref="T19:U19"/>
    <mergeCell ref="T20:U20"/>
    <mergeCell ref="T18:U18"/>
    <mergeCell ref="T17:U17"/>
    <mergeCell ref="T30:U30"/>
    <mergeCell ref="T29:U29"/>
    <mergeCell ref="T27:U27"/>
    <mergeCell ref="T28:U28"/>
    <mergeCell ref="T26:U26"/>
    <mergeCell ref="T25:U25"/>
    <mergeCell ref="T33:U33"/>
    <mergeCell ref="T32:U32"/>
    <mergeCell ref="T31:U31"/>
    <mergeCell ref="T35:U43"/>
    <mergeCell ref="Q34:U34"/>
    <mergeCell ref="K33:L33"/>
    <mergeCell ref="K32:L32"/>
    <mergeCell ref="K31:L31"/>
    <mergeCell ref="K30:L30"/>
    <mergeCell ref="K26:L29"/>
    <mergeCell ref="K25:L25"/>
    <mergeCell ref="K21:L24"/>
    <mergeCell ref="M26:M29"/>
    <mergeCell ref="M21:M24"/>
    <mergeCell ref="N21:N24"/>
    <mergeCell ref="O21:O24"/>
    <mergeCell ref="P21:P24"/>
    <mergeCell ref="Q21:Q24"/>
    <mergeCell ref="I45:J45"/>
    <mergeCell ref="I44:J44"/>
    <mergeCell ref="I35:J43"/>
    <mergeCell ref="E25:F25"/>
    <mergeCell ref="E26:F28"/>
    <mergeCell ref="E29:F29"/>
    <mergeCell ref="E33:F33"/>
    <mergeCell ref="E32:F32"/>
    <mergeCell ref="E31:F31"/>
    <mergeCell ref="E30:F30"/>
    <mergeCell ref="E38:F38"/>
    <mergeCell ref="E37:F37"/>
    <mergeCell ref="E36:F36"/>
    <mergeCell ref="E35:F35"/>
    <mergeCell ref="H26:H29"/>
    <mergeCell ref="I31:J31"/>
    <mergeCell ref="I30:J30"/>
    <mergeCell ref="I26:J29"/>
    <mergeCell ref="I25:J25"/>
    <mergeCell ref="I33:J33"/>
    <mergeCell ref="I32:J32"/>
    <mergeCell ref="C44:D44"/>
    <mergeCell ref="C45:D45"/>
    <mergeCell ref="B46:E46"/>
    <mergeCell ref="F46:I46"/>
    <mergeCell ref="K46:N46"/>
    <mergeCell ref="C47:D48"/>
    <mergeCell ref="C49:D53"/>
    <mergeCell ref="C54:D55"/>
    <mergeCell ref="E47:F47"/>
    <mergeCell ref="E50:F50"/>
    <mergeCell ref="E49:F49"/>
    <mergeCell ref="E51:F53"/>
    <mergeCell ref="E55:F55"/>
    <mergeCell ref="E54:F54"/>
    <mergeCell ref="B54:B55"/>
    <mergeCell ref="B49:B53"/>
    <mergeCell ref="M49:M53"/>
    <mergeCell ref="N49:N53"/>
    <mergeCell ref="E44:F44"/>
    <mergeCell ref="E45:F45"/>
    <mergeCell ref="E48:F48"/>
    <mergeCell ref="K45:L45"/>
    <mergeCell ref="K44:L44"/>
    <mergeCell ref="I54:J55"/>
    <mergeCell ref="O46:U46"/>
    <mergeCell ref="T54:U55"/>
    <mergeCell ref="T53:U53"/>
    <mergeCell ref="T52:U52"/>
    <mergeCell ref="T51:U51"/>
    <mergeCell ref="T50:U50"/>
    <mergeCell ref="T49:U49"/>
    <mergeCell ref="T47:U48"/>
    <mergeCell ref="C25:D25"/>
    <mergeCell ref="N54:N55"/>
    <mergeCell ref="O54:O55"/>
    <mergeCell ref="P54:P55"/>
    <mergeCell ref="Q54:Q55"/>
    <mergeCell ref="R54:R55"/>
    <mergeCell ref="P49:P53"/>
    <mergeCell ref="Q49:Q53"/>
    <mergeCell ref="R49:R53"/>
    <mergeCell ref="G54:G55"/>
    <mergeCell ref="H54:H55"/>
    <mergeCell ref="M54:M55"/>
    <mergeCell ref="S49:S53"/>
    <mergeCell ref="S47:S48"/>
    <mergeCell ref="G49:G53"/>
    <mergeCell ref="H49:H53"/>
    <mergeCell ref="C33:D33"/>
    <mergeCell ref="C32:D32"/>
    <mergeCell ref="C31:D31"/>
    <mergeCell ref="C30:D30"/>
    <mergeCell ref="C26:D29"/>
    <mergeCell ref="B34:E34"/>
    <mergeCell ref="M14:S14"/>
    <mergeCell ref="F34:G34"/>
    <mergeCell ref="H34:I34"/>
    <mergeCell ref="K34:L34"/>
    <mergeCell ref="M34:N34"/>
    <mergeCell ref="O34:P34"/>
    <mergeCell ref="N26:N29"/>
    <mergeCell ref="O26:O29"/>
    <mergeCell ref="P26:P29"/>
    <mergeCell ref="Q26:Q29"/>
    <mergeCell ref="R26:R29"/>
    <mergeCell ref="S26:S29"/>
    <mergeCell ref="R21:R24"/>
    <mergeCell ref="S21:S24"/>
    <mergeCell ref="B26:B29"/>
    <mergeCell ref="G26:G29"/>
    <mergeCell ref="E17:F19"/>
    <mergeCell ref="E20:F20"/>
    <mergeCell ref="T14:U15"/>
    <mergeCell ref="S13:U13"/>
    <mergeCell ref="B16:C16"/>
    <mergeCell ref="D16:E16"/>
    <mergeCell ref="F16:G16"/>
    <mergeCell ref="H16:I16"/>
    <mergeCell ref="K16:L16"/>
    <mergeCell ref="M16:N16"/>
    <mergeCell ref="O16:P16"/>
    <mergeCell ref="Q16:R16"/>
    <mergeCell ref="C14:D15"/>
    <mergeCell ref="E14:F15"/>
    <mergeCell ref="K14:L15"/>
    <mergeCell ref="Q13:R13"/>
    <mergeCell ref="I14:J15"/>
    <mergeCell ref="S54:S55"/>
    <mergeCell ref="H101:H102"/>
    <mergeCell ref="M101:M102"/>
    <mergeCell ref="P103:P104"/>
    <mergeCell ref="Q103:Q104"/>
    <mergeCell ref="B96:B100"/>
    <mergeCell ref="G96:G100"/>
    <mergeCell ref="H96:H100"/>
    <mergeCell ref="M96:M100"/>
    <mergeCell ref="N96:N100"/>
    <mergeCell ref="O96:O100"/>
    <mergeCell ref="P96:P100"/>
    <mergeCell ref="N94:N95"/>
    <mergeCell ref="O94:O95"/>
    <mergeCell ref="P94:P95"/>
    <mergeCell ref="Q94:Q95"/>
    <mergeCell ref="R94:R95"/>
    <mergeCell ref="S94:S95"/>
    <mergeCell ref="Q96:Q100"/>
    <mergeCell ref="R96:R100"/>
    <mergeCell ref="S96:S100"/>
    <mergeCell ref="B94:B95"/>
    <mergeCell ref="G94:G95"/>
    <mergeCell ref="C56:D57"/>
    <mergeCell ref="T94:U95"/>
    <mergeCell ref="E95:F95"/>
    <mergeCell ref="C96:D100"/>
    <mergeCell ref="E96:F96"/>
    <mergeCell ref="I96:J100"/>
    <mergeCell ref="K96:L100"/>
    <mergeCell ref="T96:U96"/>
    <mergeCell ref="E97:F97"/>
    <mergeCell ref="T97:U97"/>
    <mergeCell ref="B82:B90"/>
    <mergeCell ref="G82:G90"/>
    <mergeCell ref="H82:H90"/>
    <mergeCell ref="C77:D77"/>
    <mergeCell ref="E77:F77"/>
    <mergeCell ref="I77:J77"/>
    <mergeCell ref="K77:L77"/>
    <mergeCell ref="T77:U77"/>
    <mergeCell ref="O68:O71"/>
    <mergeCell ref="P68:P71"/>
    <mergeCell ref="Q68:Q71"/>
    <mergeCell ref="R68:R71"/>
    <mergeCell ref="S68:S71"/>
    <mergeCell ref="B73:B76"/>
    <mergeCell ref="G73:G76"/>
    <mergeCell ref="H73:H76"/>
    <mergeCell ref="Q73:Q76"/>
    <mergeCell ref="R73:R76"/>
    <mergeCell ref="S73:S76"/>
    <mergeCell ref="B68:B71"/>
    <mergeCell ref="G68:G71"/>
    <mergeCell ref="H68:H71"/>
    <mergeCell ref="M68:M71"/>
    <mergeCell ref="N68:N71"/>
    <mergeCell ref="B64:B67"/>
    <mergeCell ref="G64:G67"/>
    <mergeCell ref="H64:H67"/>
    <mergeCell ref="S64:S67"/>
    <mergeCell ref="M64:M67"/>
    <mergeCell ref="N64:N67"/>
    <mergeCell ref="O64:O67"/>
    <mergeCell ref="P64:P67"/>
    <mergeCell ref="Q64:Q67"/>
    <mergeCell ref="R64:R67"/>
    <mergeCell ref="T61:U62"/>
    <mergeCell ref="B63:C63"/>
    <mergeCell ref="D63:E63"/>
    <mergeCell ref="B61:B62"/>
    <mergeCell ref="G61:G62"/>
    <mergeCell ref="H61:H62"/>
    <mergeCell ref="M56:M57"/>
    <mergeCell ref="N56:N57"/>
    <mergeCell ref="O56:O57"/>
    <mergeCell ref="P56:P57"/>
    <mergeCell ref="Q56:Q57"/>
    <mergeCell ref="R56:R57"/>
    <mergeCell ref="B56:B57"/>
    <mergeCell ref="G56:G57"/>
    <mergeCell ref="H56:H57"/>
    <mergeCell ref="M61:S61"/>
    <mergeCell ref="C61:D62"/>
    <mergeCell ref="E61:F62"/>
    <mergeCell ref="I61:J62"/>
    <mergeCell ref="K61:L62"/>
    <mergeCell ref="S56:S57"/>
    <mergeCell ref="E57:F57"/>
    <mergeCell ref="E56:F56"/>
    <mergeCell ref="I56:J57"/>
    <mergeCell ref="O49:O53"/>
    <mergeCell ref="M47:M48"/>
    <mergeCell ref="N47:N48"/>
    <mergeCell ref="O47:O48"/>
    <mergeCell ref="P47:P48"/>
    <mergeCell ref="Q47:Q48"/>
    <mergeCell ref="R47:R48"/>
    <mergeCell ref="B47:B48"/>
    <mergeCell ref="G47:G48"/>
    <mergeCell ref="H47:H48"/>
    <mergeCell ref="I49:J53"/>
    <mergeCell ref="I47:J48"/>
    <mergeCell ref="P35:P43"/>
    <mergeCell ref="Q35:Q43"/>
    <mergeCell ref="R35:R43"/>
    <mergeCell ref="S35:S43"/>
    <mergeCell ref="B35:B43"/>
    <mergeCell ref="G35:G43"/>
    <mergeCell ref="H35:H43"/>
    <mergeCell ref="M35:M43"/>
    <mergeCell ref="N35:N43"/>
    <mergeCell ref="O35:O43"/>
    <mergeCell ref="C35:D43"/>
    <mergeCell ref="E43:F43"/>
    <mergeCell ref="E42:F42"/>
    <mergeCell ref="E41:F41"/>
    <mergeCell ref="E40:F40"/>
    <mergeCell ref="E39:F39"/>
    <mergeCell ref="K35:L43"/>
    <mergeCell ref="B21:B24"/>
    <mergeCell ref="G21:G24"/>
    <mergeCell ref="H21:H24"/>
    <mergeCell ref="N17:N20"/>
    <mergeCell ref="O17:O20"/>
    <mergeCell ref="P17:P20"/>
    <mergeCell ref="Q17:Q20"/>
    <mergeCell ref="R17:R20"/>
    <mergeCell ref="S17:S20"/>
    <mergeCell ref="B17:B20"/>
    <mergeCell ref="G17:G20"/>
    <mergeCell ref="H17:H20"/>
    <mergeCell ref="M17:M20"/>
    <mergeCell ref="C21:D24"/>
    <mergeCell ref="C17:D20"/>
    <mergeCell ref="E21:F23"/>
    <mergeCell ref="E24:F24"/>
    <mergeCell ref="I17:J20"/>
    <mergeCell ref="I21:J24"/>
    <mergeCell ref="K17:L20"/>
    <mergeCell ref="B12:P12"/>
    <mergeCell ref="B14:B15"/>
    <mergeCell ref="G14:G15"/>
    <mergeCell ref="H14:H15"/>
    <mergeCell ref="B13:C13"/>
    <mergeCell ref="D13:E13"/>
    <mergeCell ref="F13:G13"/>
    <mergeCell ref="H13:I13"/>
    <mergeCell ref="K13:L13"/>
    <mergeCell ref="M13:N13"/>
    <mergeCell ref="O13:P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3A5F-DFC7-409B-B960-9BC8D97711F9}">
  <dimension ref="A7:AB311"/>
  <sheetViews>
    <sheetView zoomScaleNormal="100" workbookViewId="0"/>
  </sheetViews>
  <sheetFormatPr baseColWidth="10" defaultColWidth="11.5703125" defaultRowHeight="15" x14ac:dyDescent="0.25"/>
  <sheetData>
    <row r="7" spans="2:11" ht="18" x14ac:dyDescent="0.25">
      <c r="B7" s="1" t="s">
        <v>0</v>
      </c>
      <c r="K7" s="1"/>
    </row>
    <row r="8" spans="2:11" x14ac:dyDescent="0.25">
      <c r="B8" s="86"/>
    </row>
    <row r="9" spans="2:11" ht="18" x14ac:dyDescent="0.25">
      <c r="B9" s="1" t="s">
        <v>933</v>
      </c>
    </row>
    <row r="10" spans="2:11" s="86" customFormat="1" ht="18" x14ac:dyDescent="0.25">
      <c r="B10" s="1"/>
    </row>
    <row r="11" spans="2:11" s="398" customFormat="1" ht="18" x14ac:dyDescent="0.25">
      <c r="B11" s="1"/>
    </row>
    <row r="12" spans="2:11" s="398" customFormat="1" x14ac:dyDescent="0.25">
      <c r="B12" s="424" t="s">
        <v>1174</v>
      </c>
    </row>
    <row r="14" spans="2:11" x14ac:dyDescent="0.25">
      <c r="B14" s="795" t="s">
        <v>1175</v>
      </c>
      <c r="C14" s="795"/>
      <c r="D14" s="795"/>
      <c r="E14" s="795"/>
      <c r="F14" s="795"/>
      <c r="G14" s="391"/>
      <c r="H14" s="72"/>
      <c r="I14" s="72"/>
      <c r="J14" s="72"/>
      <c r="K14" s="72"/>
    </row>
    <row r="15" spans="2:11" ht="33.75" customHeight="1" x14ac:dyDescent="0.25">
      <c r="B15" s="665" t="s">
        <v>2</v>
      </c>
      <c r="C15" s="665"/>
      <c r="D15" s="600" t="s">
        <v>273</v>
      </c>
      <c r="E15" s="600" t="s">
        <v>241</v>
      </c>
      <c r="F15" s="600" t="s">
        <v>242</v>
      </c>
      <c r="G15" s="600" t="s">
        <v>243</v>
      </c>
      <c r="H15" s="600" t="s">
        <v>244</v>
      </c>
      <c r="I15" s="600" t="s">
        <v>245</v>
      </c>
    </row>
    <row r="16" spans="2:11" s="86" customFormat="1" ht="15" customHeight="1" thickBot="1" x14ac:dyDescent="0.3">
      <c r="B16" s="800" t="s">
        <v>12</v>
      </c>
      <c r="C16" s="800"/>
      <c r="D16" s="29" t="s">
        <v>904</v>
      </c>
      <c r="E16" s="29">
        <v>30</v>
      </c>
      <c r="F16" s="427">
        <v>0.51388888888888884</v>
      </c>
      <c r="G16" s="427">
        <v>0.51388888888888884</v>
      </c>
      <c r="H16" s="509">
        <v>42.766666666666666</v>
      </c>
      <c r="I16" s="427">
        <v>0.26666666666666666</v>
      </c>
    </row>
    <row r="17" spans="2:9" s="86" customFormat="1" ht="15.75" thickBot="1" x14ac:dyDescent="0.3">
      <c r="B17" s="800"/>
      <c r="C17" s="800"/>
      <c r="D17" s="416" t="s">
        <v>684</v>
      </c>
      <c r="E17" s="485">
        <v>28</v>
      </c>
      <c r="F17" s="510">
        <v>0.2857142857142857</v>
      </c>
      <c r="G17" s="510">
        <v>0.51458333333333328</v>
      </c>
      <c r="H17" s="511">
        <v>42.464285714285715</v>
      </c>
      <c r="I17" s="510">
        <v>0.25</v>
      </c>
    </row>
    <row r="18" spans="2:9" s="86" customFormat="1" x14ac:dyDescent="0.25">
      <c r="B18" s="800"/>
      <c r="C18" s="800"/>
      <c r="D18" s="412" t="s">
        <v>903</v>
      </c>
      <c r="E18" s="512">
        <v>28</v>
      </c>
      <c r="F18" s="513">
        <v>0.32142857142857145</v>
      </c>
      <c r="G18" s="513">
        <v>0.5</v>
      </c>
      <c r="H18" s="514">
        <v>43.892857142857146</v>
      </c>
      <c r="I18" s="513">
        <v>0.21428571428571427</v>
      </c>
    </row>
    <row r="19" spans="2:9" s="86" customFormat="1" ht="15.75" thickBot="1" x14ac:dyDescent="0.3">
      <c r="B19" s="799" t="s">
        <v>90</v>
      </c>
      <c r="C19" s="799"/>
      <c r="D19" s="517"/>
      <c r="E19" s="518">
        <f>AVERAGE(E16:E18)</f>
        <v>28.666666666666668</v>
      </c>
      <c r="F19" s="519">
        <f>AVERAGE(F16:F18)</f>
        <v>0.37367724867724866</v>
      </c>
      <c r="G19" s="519">
        <f t="shared" ref="G19:I19" si="0">AVERAGE(G16:G18)</f>
        <v>0.50949074074074074</v>
      </c>
      <c r="H19" s="518">
        <f t="shared" si="0"/>
        <v>43.041269841269838</v>
      </c>
      <c r="I19" s="519">
        <f t="shared" si="0"/>
        <v>0.24365079365079365</v>
      </c>
    </row>
    <row r="20" spans="2:9" s="86" customFormat="1" ht="15" customHeight="1" thickBot="1" x14ac:dyDescent="0.3">
      <c r="B20" s="800" t="s">
        <v>13</v>
      </c>
      <c r="C20" s="800"/>
      <c r="D20" s="416" t="s">
        <v>904</v>
      </c>
      <c r="E20" s="416">
        <v>31</v>
      </c>
      <c r="F20" s="515">
        <v>0.41935483870967744</v>
      </c>
      <c r="G20" s="515">
        <v>0.521505376344086</v>
      </c>
      <c r="H20" s="516">
        <v>41.58</v>
      </c>
      <c r="I20" s="515">
        <v>0.51612903225806495</v>
      </c>
    </row>
    <row r="21" spans="2:9" s="86" customFormat="1" ht="15.75" thickBot="1" x14ac:dyDescent="0.3">
      <c r="B21" s="800"/>
      <c r="C21" s="800"/>
      <c r="D21" s="416" t="s">
        <v>684</v>
      </c>
      <c r="E21" s="485">
        <v>34</v>
      </c>
      <c r="F21" s="510">
        <f>12/34</f>
        <v>0.35294117647058826</v>
      </c>
      <c r="G21" s="510">
        <v>0.50360000000000005</v>
      </c>
      <c r="H21" s="511">
        <v>41.67</v>
      </c>
      <c r="I21" s="510">
        <f>17/34</f>
        <v>0.5</v>
      </c>
    </row>
    <row r="22" spans="2:9" x14ac:dyDescent="0.25">
      <c r="B22" s="800"/>
      <c r="C22" s="800"/>
      <c r="D22" s="412" t="s">
        <v>903</v>
      </c>
      <c r="E22" s="512">
        <v>34</v>
      </c>
      <c r="F22" s="513">
        <v>0.35294117647058826</v>
      </c>
      <c r="G22" s="513">
        <v>0.5091</v>
      </c>
      <c r="H22" s="514">
        <v>41</v>
      </c>
      <c r="I22" s="513">
        <v>0.47060000000000002</v>
      </c>
    </row>
    <row r="23" spans="2:9" ht="15.75" thickBot="1" x14ac:dyDescent="0.3">
      <c r="B23" s="799" t="s">
        <v>90</v>
      </c>
      <c r="C23" s="799"/>
      <c r="D23" s="517"/>
      <c r="E23" s="518">
        <f>AVERAGE(E20:E22)</f>
        <v>33</v>
      </c>
      <c r="F23" s="519">
        <f>AVERAGE(F20:F22)</f>
        <v>0.37507906388361795</v>
      </c>
      <c r="G23" s="519">
        <f t="shared" ref="G23" si="1">AVERAGE(G20:G22)</f>
        <v>0.51140179211469539</v>
      </c>
      <c r="H23" s="518">
        <f t="shared" ref="H23" si="2">AVERAGE(H20:H22)</f>
        <v>41.416666666666664</v>
      </c>
      <c r="I23" s="519">
        <f t="shared" ref="I23" si="3">AVERAGE(I20:I22)</f>
        <v>0.49557634408602169</v>
      </c>
    </row>
    <row r="24" spans="2:9" x14ac:dyDescent="0.25">
      <c r="B24" s="798" t="s">
        <v>832</v>
      </c>
      <c r="C24" s="798"/>
    </row>
    <row r="25" spans="2:9" ht="21" customHeight="1" x14ac:dyDescent="0.25">
      <c r="B25" s="797" t="s">
        <v>246</v>
      </c>
      <c r="C25" s="797"/>
      <c r="D25" s="797"/>
      <c r="E25" s="797"/>
      <c r="F25" s="797"/>
      <c r="G25" s="797"/>
      <c r="H25" s="797"/>
    </row>
    <row r="26" spans="2:9" ht="21" customHeight="1" x14ac:dyDescent="0.25">
      <c r="B26" s="42"/>
      <c r="C26" s="42"/>
      <c r="D26" s="42"/>
      <c r="E26" s="42"/>
      <c r="F26" s="42"/>
      <c r="G26" s="42"/>
      <c r="H26" s="42"/>
    </row>
    <row r="27" spans="2:9" x14ac:dyDescent="0.25">
      <c r="B27" s="43"/>
    </row>
    <row r="28" spans="2:9" x14ac:dyDescent="0.25">
      <c r="B28" s="719" t="s">
        <v>1176</v>
      </c>
      <c r="C28" s="719"/>
      <c r="D28" s="719"/>
      <c r="E28" s="719"/>
      <c r="F28" s="719"/>
      <c r="G28" s="719"/>
      <c r="H28" s="719"/>
    </row>
    <row r="29" spans="2:9" ht="15" customHeight="1" x14ac:dyDescent="0.25">
      <c r="B29" s="791" t="s">
        <v>12</v>
      </c>
      <c r="C29" s="791"/>
      <c r="D29" s="791"/>
      <c r="E29" s="791"/>
      <c r="F29" s="791"/>
      <c r="G29" s="791"/>
      <c r="H29" s="523"/>
      <c r="I29" s="523"/>
    </row>
    <row r="30" spans="2:9" ht="15" customHeight="1" x14ac:dyDescent="0.25">
      <c r="B30" s="672" t="s">
        <v>247</v>
      </c>
      <c r="C30" s="672"/>
      <c r="D30" s="665" t="s">
        <v>248</v>
      </c>
      <c r="E30" s="665"/>
      <c r="F30" s="672" t="s">
        <v>249</v>
      </c>
      <c r="G30" s="665" t="s">
        <v>250</v>
      </c>
      <c r="H30" s="665"/>
      <c r="I30" s="672" t="s">
        <v>251</v>
      </c>
    </row>
    <row r="31" spans="2:9" x14ac:dyDescent="0.25">
      <c r="B31" s="665"/>
      <c r="C31" s="665"/>
      <c r="D31" s="482" t="s">
        <v>252</v>
      </c>
      <c r="E31" s="482" t="s">
        <v>253</v>
      </c>
      <c r="F31" s="665"/>
      <c r="G31" s="482" t="s">
        <v>252</v>
      </c>
      <c r="H31" s="482" t="s">
        <v>253</v>
      </c>
      <c r="I31" s="665"/>
    </row>
    <row r="32" spans="2:9" ht="21" customHeight="1" thickBot="1" x14ac:dyDescent="0.3">
      <c r="B32" s="796" t="s">
        <v>254</v>
      </c>
      <c r="C32" s="796"/>
      <c r="D32" s="515">
        <v>0</v>
      </c>
      <c r="E32" s="515">
        <v>1</v>
      </c>
      <c r="F32" s="416">
        <v>3</v>
      </c>
      <c r="G32" s="515">
        <v>0</v>
      </c>
      <c r="H32" s="515">
        <v>1</v>
      </c>
      <c r="I32" s="416">
        <v>69</v>
      </c>
    </row>
    <row r="33" spans="2:10" ht="21" customHeight="1" thickBot="1" x14ac:dyDescent="0.3">
      <c r="B33" s="794" t="s">
        <v>255</v>
      </c>
      <c r="C33" s="794"/>
      <c r="D33" s="515">
        <v>0</v>
      </c>
      <c r="E33" s="515">
        <v>1</v>
      </c>
      <c r="F33" s="416">
        <v>1</v>
      </c>
      <c r="G33" s="515">
        <v>0</v>
      </c>
      <c r="H33" s="515">
        <v>1</v>
      </c>
      <c r="I33" s="416">
        <v>25</v>
      </c>
    </row>
    <row r="34" spans="2:10" ht="21" customHeight="1" thickBot="1" x14ac:dyDescent="0.3">
      <c r="B34" s="794" t="s">
        <v>256</v>
      </c>
      <c r="C34" s="794"/>
      <c r="D34" s="515">
        <v>1</v>
      </c>
      <c r="E34" s="515">
        <v>0</v>
      </c>
      <c r="F34" s="416">
        <v>2</v>
      </c>
      <c r="G34" s="515">
        <v>1</v>
      </c>
      <c r="H34" s="515">
        <v>0</v>
      </c>
      <c r="I34" s="416">
        <v>38</v>
      </c>
    </row>
    <row r="35" spans="2:10" ht="31.5" customHeight="1" thickBot="1" x14ac:dyDescent="0.3">
      <c r="B35" s="793" t="s">
        <v>257</v>
      </c>
      <c r="C35" s="793"/>
      <c r="D35" s="527">
        <v>0.6428571428571429</v>
      </c>
      <c r="E35" s="527">
        <v>0.17857142857142858</v>
      </c>
      <c r="F35" s="526">
        <v>22</v>
      </c>
      <c r="G35" s="527">
        <v>0.60759999999999992</v>
      </c>
      <c r="H35" s="527">
        <v>0.39240000000000003</v>
      </c>
      <c r="I35" s="526">
        <v>114</v>
      </c>
    </row>
    <row r="36" spans="2:10" x14ac:dyDescent="0.25">
      <c r="B36" s="792" t="s">
        <v>90</v>
      </c>
      <c r="C36" s="792"/>
      <c r="D36" s="520">
        <f>1-E36</f>
        <v>0.6785714285714286</v>
      </c>
      <c r="E36" s="520">
        <f>'[1]Càlculs St. 4 CAFE (19-20)'!E36</f>
        <v>0.32142857142857145</v>
      </c>
      <c r="F36" s="521">
        <f>SUM(F32:F35)</f>
        <v>28</v>
      </c>
      <c r="G36" s="520">
        <f>1-H36</f>
        <v>0.48609999999999998</v>
      </c>
      <c r="H36" s="520">
        <v>0.51390000000000002</v>
      </c>
      <c r="I36" s="522">
        <f>I32+I33+I34+I35</f>
        <v>246</v>
      </c>
    </row>
    <row r="37" spans="2:10" x14ac:dyDescent="0.25">
      <c r="B37" s="41"/>
      <c r="C37" s="97"/>
      <c r="D37" s="97"/>
      <c r="E37" s="72"/>
      <c r="F37" s="97"/>
      <c r="G37" s="97"/>
      <c r="H37" s="72"/>
    </row>
    <row r="38" spans="2:10" ht="15" customHeight="1" x14ac:dyDescent="0.25">
      <c r="B38" s="791" t="s">
        <v>13</v>
      </c>
      <c r="C38" s="791"/>
      <c r="D38" s="791"/>
      <c r="E38" s="791"/>
      <c r="F38" s="791"/>
      <c r="G38" s="791"/>
      <c r="H38" s="523"/>
      <c r="I38" s="523"/>
    </row>
    <row r="39" spans="2:10" ht="15" customHeight="1" x14ac:dyDescent="0.25">
      <c r="B39" s="672" t="s">
        <v>247</v>
      </c>
      <c r="C39" s="672"/>
      <c r="D39" s="665" t="s">
        <v>248</v>
      </c>
      <c r="E39" s="665"/>
      <c r="F39" s="672" t="s">
        <v>249</v>
      </c>
      <c r="G39" s="665" t="s">
        <v>250</v>
      </c>
      <c r="H39" s="665"/>
      <c r="I39" s="672" t="s">
        <v>251</v>
      </c>
    </row>
    <row r="40" spans="2:10" x14ac:dyDescent="0.25">
      <c r="B40" s="665"/>
      <c r="C40" s="665"/>
      <c r="D40" s="482" t="s">
        <v>252</v>
      </c>
      <c r="E40" s="482" t="s">
        <v>253</v>
      </c>
      <c r="F40" s="665"/>
      <c r="G40" s="482" t="s">
        <v>252</v>
      </c>
      <c r="H40" s="482" t="s">
        <v>253</v>
      </c>
      <c r="I40" s="665"/>
    </row>
    <row r="41" spans="2:10" ht="15.75" thickBot="1" x14ac:dyDescent="0.3">
      <c r="B41" s="796" t="s">
        <v>254</v>
      </c>
      <c r="C41" s="796"/>
      <c r="D41" s="515">
        <v>0</v>
      </c>
      <c r="E41" s="515">
        <v>1</v>
      </c>
      <c r="F41" s="416">
        <v>2</v>
      </c>
      <c r="G41" s="515">
        <v>0</v>
      </c>
      <c r="H41" s="515">
        <v>0.15579999999999999</v>
      </c>
      <c r="I41" s="416">
        <v>43</v>
      </c>
    </row>
    <row r="42" spans="2:10" ht="15.75" thickBot="1" x14ac:dyDescent="0.3">
      <c r="B42" s="794" t="s">
        <v>255</v>
      </c>
      <c r="C42" s="794"/>
      <c r="D42" s="515">
        <v>0</v>
      </c>
      <c r="E42" s="515">
        <v>0</v>
      </c>
      <c r="F42" s="416">
        <v>0</v>
      </c>
      <c r="G42" s="515">
        <v>0</v>
      </c>
      <c r="H42" s="515">
        <v>0</v>
      </c>
      <c r="I42" s="416">
        <v>0</v>
      </c>
    </row>
    <row r="43" spans="2:10" ht="15.75" thickBot="1" x14ac:dyDescent="0.3">
      <c r="B43" s="794" t="s">
        <v>256</v>
      </c>
      <c r="C43" s="794"/>
      <c r="D43" s="515">
        <v>1</v>
      </c>
      <c r="E43" s="515">
        <v>0</v>
      </c>
      <c r="F43" s="416">
        <v>5</v>
      </c>
      <c r="G43" s="515">
        <v>0.1721</v>
      </c>
      <c r="H43" s="515">
        <v>0</v>
      </c>
      <c r="I43" s="416">
        <v>47.5</v>
      </c>
    </row>
    <row r="44" spans="2:10" ht="15.75" thickBot="1" x14ac:dyDescent="0.3">
      <c r="B44" s="793" t="s">
        <v>257</v>
      </c>
      <c r="C44" s="793"/>
      <c r="D44" s="527">
        <v>0.62959999999999994</v>
      </c>
      <c r="E44" s="527">
        <v>0.37040000000000001</v>
      </c>
      <c r="F44" s="526">
        <v>27</v>
      </c>
      <c r="G44" s="527">
        <v>0.31879999999999997</v>
      </c>
      <c r="H44" s="527">
        <v>0.3533</v>
      </c>
      <c r="I44" s="526">
        <v>185.5</v>
      </c>
    </row>
    <row r="45" spans="2:10" x14ac:dyDescent="0.25">
      <c r="B45" s="792" t="s">
        <v>90</v>
      </c>
      <c r="C45" s="792"/>
      <c r="D45" s="528">
        <v>0.6470588235294118</v>
      </c>
      <c r="E45" s="528">
        <v>0.35294117647058826</v>
      </c>
      <c r="F45" s="529">
        <v>34</v>
      </c>
      <c r="G45" s="528">
        <v>0.4909</v>
      </c>
      <c r="H45" s="528">
        <v>0.5091</v>
      </c>
      <c r="I45" s="530">
        <v>276</v>
      </c>
    </row>
    <row r="46" spans="2:10" x14ac:dyDescent="0.25">
      <c r="B46" s="842" t="s">
        <v>832</v>
      </c>
      <c r="C46" s="842"/>
      <c r="D46" s="86"/>
      <c r="E46" s="86"/>
      <c r="F46" s="86"/>
      <c r="G46" s="86"/>
      <c r="H46" s="86"/>
    </row>
    <row r="47" spans="2:10" ht="23.25" customHeight="1" x14ac:dyDescent="0.25">
      <c r="B47" s="797" t="s">
        <v>246</v>
      </c>
      <c r="C47" s="797"/>
      <c r="D47" s="797"/>
      <c r="E47" s="797"/>
      <c r="F47" s="797"/>
      <c r="G47" s="797"/>
      <c r="H47" s="797"/>
      <c r="I47" s="797"/>
      <c r="J47" s="797"/>
    </row>
    <row r="48" spans="2:10" s="398" customFormat="1" x14ac:dyDescent="0.25">
      <c r="B48" s="101"/>
      <c r="C48" s="101"/>
      <c r="D48" s="101"/>
      <c r="E48" s="101"/>
      <c r="F48" s="101"/>
      <c r="G48" s="101"/>
      <c r="H48" s="101"/>
    </row>
    <row r="49" spans="2:14" x14ac:dyDescent="0.25">
      <c r="B49" s="101"/>
      <c r="C49" s="101"/>
      <c r="D49" s="101"/>
      <c r="E49" s="101"/>
      <c r="F49" s="101"/>
      <c r="G49" s="101"/>
      <c r="H49" s="42"/>
    </row>
    <row r="50" spans="2:14" x14ac:dyDescent="0.25">
      <c r="B50" s="719" t="s">
        <v>1177</v>
      </c>
      <c r="C50" s="719"/>
      <c r="D50" s="719"/>
      <c r="E50" s="719"/>
      <c r="F50" s="719"/>
      <c r="G50" s="719"/>
      <c r="H50" s="719"/>
    </row>
    <row r="51" spans="2:14" ht="16.5" customHeight="1" x14ac:dyDescent="0.25">
      <c r="B51" s="531"/>
      <c r="C51" s="389"/>
      <c r="D51" s="531"/>
      <c r="E51" s="666" t="s">
        <v>258</v>
      </c>
      <c r="F51" s="666"/>
      <c r="G51" s="666" t="s">
        <v>259</v>
      </c>
      <c r="H51" s="666"/>
      <c r="I51" s="666" t="s">
        <v>260</v>
      </c>
      <c r="J51" s="666" t="s">
        <v>261</v>
      </c>
      <c r="K51" s="666" t="s">
        <v>262</v>
      </c>
      <c r="L51" s="666" t="s">
        <v>90</v>
      </c>
      <c r="M51" s="666" t="s">
        <v>263</v>
      </c>
      <c r="N51" s="666"/>
    </row>
    <row r="52" spans="2:14" x14ac:dyDescent="0.25">
      <c r="B52" s="531"/>
      <c r="C52" s="389"/>
      <c r="D52" s="531"/>
      <c r="E52" s="667"/>
      <c r="F52" s="667"/>
      <c r="G52" s="667"/>
      <c r="H52" s="667"/>
      <c r="I52" s="667"/>
      <c r="J52" s="667"/>
      <c r="K52" s="667"/>
      <c r="L52" s="667"/>
      <c r="M52" s="667"/>
      <c r="N52" s="667"/>
    </row>
    <row r="53" spans="2:14" ht="15" customHeight="1" thickBot="1" x14ac:dyDescent="0.3">
      <c r="B53" s="800" t="s">
        <v>12</v>
      </c>
      <c r="C53" s="800"/>
      <c r="D53" s="532" t="s">
        <v>264</v>
      </c>
      <c r="E53" s="761">
        <f>'[1]Càlculs St. 4 CAFE (19-20)'!E34</f>
        <v>9</v>
      </c>
      <c r="F53" s="761"/>
      <c r="G53" s="773">
        <v>0</v>
      </c>
      <c r="H53" s="773"/>
      <c r="I53" s="506">
        <v>0</v>
      </c>
      <c r="J53" s="506">
        <v>0</v>
      </c>
      <c r="K53" s="506">
        <v>0</v>
      </c>
      <c r="L53" s="507">
        <f>SUM(E53:K53)</f>
        <v>9</v>
      </c>
      <c r="M53" s="841">
        <f>6/9</f>
        <v>0.66666666666666663</v>
      </c>
      <c r="N53" s="841"/>
    </row>
    <row r="54" spans="2:14" ht="15.75" thickBot="1" x14ac:dyDescent="0.3">
      <c r="B54" s="845"/>
      <c r="C54" s="845"/>
      <c r="D54" s="533" t="s">
        <v>265</v>
      </c>
      <c r="E54" s="843" t="s">
        <v>15</v>
      </c>
      <c r="F54" s="843"/>
      <c r="G54" s="846">
        <f>F36-E53</f>
        <v>19</v>
      </c>
      <c r="H54" s="846"/>
      <c r="I54" s="534" t="s">
        <v>15</v>
      </c>
      <c r="J54" s="508">
        <v>0</v>
      </c>
      <c r="K54" s="508">
        <v>0</v>
      </c>
      <c r="L54" s="508">
        <f>SUM(E54:K54)</f>
        <v>19</v>
      </c>
      <c r="M54" s="840" t="s">
        <v>15</v>
      </c>
      <c r="N54" s="840"/>
    </row>
    <row r="55" spans="2:14" x14ac:dyDescent="0.25">
      <c r="B55" s="792" t="s">
        <v>90</v>
      </c>
      <c r="C55" s="792"/>
      <c r="D55" s="792"/>
      <c r="E55" s="844">
        <f>SUM(E53:E54)</f>
        <v>9</v>
      </c>
      <c r="F55" s="844"/>
      <c r="G55" s="844">
        <f t="shared" ref="G55" si="4">SUM(G53:G54)</f>
        <v>19</v>
      </c>
      <c r="H55" s="844"/>
      <c r="I55" s="521">
        <f>SUM(I53:I54)</f>
        <v>0</v>
      </c>
      <c r="J55" s="521">
        <f>SUM(J53:J54)</f>
        <v>0</v>
      </c>
      <c r="K55" s="521">
        <f>SUM(K53:K54)</f>
        <v>0</v>
      </c>
      <c r="L55" s="521">
        <f>SUM(L53:L54)</f>
        <v>28</v>
      </c>
      <c r="M55" s="839">
        <f>6/9</f>
        <v>0.66666666666666663</v>
      </c>
      <c r="N55" s="839"/>
    </row>
    <row r="56" spans="2:14" ht="14.25" customHeight="1" x14ac:dyDescent="0.25">
      <c r="B56" s="42"/>
      <c r="C56" s="42"/>
      <c r="D56" s="42"/>
      <c r="E56" s="42"/>
      <c r="F56" s="42"/>
      <c r="G56" s="42"/>
      <c r="H56" s="42"/>
    </row>
    <row r="57" spans="2:14" s="86" customFormat="1" ht="14.25" customHeight="1" x14ac:dyDescent="0.25">
      <c r="B57" s="531"/>
      <c r="C57" s="389"/>
      <c r="D57" s="531"/>
      <c r="E57" s="666" t="s">
        <v>258</v>
      </c>
      <c r="F57" s="666"/>
      <c r="G57" s="666" t="s">
        <v>259</v>
      </c>
      <c r="H57" s="666"/>
      <c r="I57" s="666" t="s">
        <v>260</v>
      </c>
      <c r="J57" s="666" t="s">
        <v>261</v>
      </c>
      <c r="K57" s="666" t="s">
        <v>262</v>
      </c>
      <c r="L57" s="666" t="s">
        <v>90</v>
      </c>
      <c r="M57" s="666" t="s">
        <v>263</v>
      </c>
      <c r="N57" s="666"/>
    </row>
    <row r="58" spans="2:14" s="86" customFormat="1" ht="17.25" customHeight="1" x14ac:dyDescent="0.25">
      <c r="B58" s="531"/>
      <c r="C58" s="389"/>
      <c r="D58" s="531"/>
      <c r="E58" s="667"/>
      <c r="F58" s="667"/>
      <c r="G58" s="667"/>
      <c r="H58" s="667"/>
      <c r="I58" s="667"/>
      <c r="J58" s="667"/>
      <c r="K58" s="667"/>
      <c r="L58" s="667"/>
      <c r="M58" s="667"/>
      <c r="N58" s="667"/>
    </row>
    <row r="59" spans="2:14" ht="15.75" thickBot="1" x14ac:dyDescent="0.3">
      <c r="B59" s="800" t="s">
        <v>12</v>
      </c>
      <c r="C59" s="800"/>
      <c r="D59" s="532" t="s">
        <v>264</v>
      </c>
      <c r="E59" s="761">
        <v>12</v>
      </c>
      <c r="F59" s="761"/>
      <c r="G59" s="773">
        <v>0</v>
      </c>
      <c r="H59" s="773"/>
      <c r="I59" s="506">
        <v>0</v>
      </c>
      <c r="J59" s="506">
        <v>0</v>
      </c>
      <c r="K59" s="506">
        <v>0</v>
      </c>
      <c r="L59" s="507">
        <f>SUM(E59:K59)</f>
        <v>12</v>
      </c>
      <c r="M59" s="841">
        <v>0.58330000000000004</v>
      </c>
      <c r="N59" s="841"/>
    </row>
    <row r="60" spans="2:14" ht="15.75" thickBot="1" x14ac:dyDescent="0.3">
      <c r="B60" s="845"/>
      <c r="C60" s="845"/>
      <c r="D60" s="533" t="s">
        <v>265</v>
      </c>
      <c r="E60" s="843" t="s">
        <v>15</v>
      </c>
      <c r="F60" s="843"/>
      <c r="G60" s="846">
        <v>22</v>
      </c>
      <c r="H60" s="846"/>
      <c r="I60" s="534" t="s">
        <v>15</v>
      </c>
      <c r="J60" s="508">
        <v>0</v>
      </c>
      <c r="K60" s="508">
        <v>0</v>
      </c>
      <c r="L60" s="508">
        <f>SUM(E60:K60)</f>
        <v>22</v>
      </c>
      <c r="M60" s="840" t="s">
        <v>15</v>
      </c>
      <c r="N60" s="840"/>
    </row>
    <row r="61" spans="2:14" x14ac:dyDescent="0.25">
      <c r="B61" s="792" t="s">
        <v>90</v>
      </c>
      <c r="C61" s="792"/>
      <c r="D61" s="792"/>
      <c r="E61" s="844">
        <f>SUM(E59:E60)</f>
        <v>12</v>
      </c>
      <c r="F61" s="844"/>
      <c r="G61" s="844">
        <f t="shared" ref="G61" si="5">SUM(G59:G60)</f>
        <v>22</v>
      </c>
      <c r="H61" s="844"/>
      <c r="I61" s="521">
        <f>SUM(I59:I60)</f>
        <v>0</v>
      </c>
      <c r="J61" s="521">
        <f>SUM(J59:J60)</f>
        <v>0</v>
      </c>
      <c r="K61" s="521">
        <f>SUM(K59:K60)</f>
        <v>0</v>
      </c>
      <c r="L61" s="521">
        <f>SUM(L59:L60)</f>
        <v>34</v>
      </c>
      <c r="M61" s="839">
        <f>M59</f>
        <v>0.58330000000000004</v>
      </c>
      <c r="N61" s="839"/>
    </row>
    <row r="62" spans="2:14" x14ac:dyDescent="0.25">
      <c r="B62" s="44" t="s">
        <v>832</v>
      </c>
      <c r="C62" s="45"/>
      <c r="D62" s="45"/>
      <c r="E62" s="45"/>
      <c r="F62" s="45"/>
      <c r="G62" s="45"/>
      <c r="H62" s="45"/>
    </row>
    <row r="63" spans="2:14" x14ac:dyDescent="0.25">
      <c r="B63" s="535" t="s">
        <v>1113</v>
      </c>
      <c r="C63" s="535"/>
      <c r="D63" s="535"/>
      <c r="E63" s="535"/>
      <c r="F63" s="535"/>
      <c r="G63" s="535"/>
      <c r="H63" s="535"/>
      <c r="I63" s="398"/>
      <c r="J63" s="398"/>
      <c r="K63" s="398"/>
      <c r="L63" s="398"/>
      <c r="M63" s="398"/>
      <c r="N63" s="398"/>
    </row>
    <row r="64" spans="2:14" x14ac:dyDescent="0.25">
      <c r="B64" s="833" t="s">
        <v>266</v>
      </c>
      <c r="C64" s="833"/>
      <c r="D64" s="833"/>
      <c r="E64" s="833"/>
      <c r="F64" s="833"/>
      <c r="G64" s="833"/>
      <c r="H64" s="833"/>
    </row>
    <row r="65" spans="2:14" x14ac:dyDescent="0.25">
      <c r="B65" s="71" t="s">
        <v>267</v>
      </c>
      <c r="C65" s="71"/>
      <c r="D65" s="71"/>
      <c r="E65" s="71"/>
      <c r="F65" s="71"/>
      <c r="G65" s="71"/>
      <c r="H65" s="71"/>
      <c r="I65" s="398"/>
      <c r="J65" s="398"/>
      <c r="K65" s="398"/>
      <c r="L65" s="398"/>
      <c r="M65" s="398"/>
      <c r="N65" s="398"/>
    </row>
    <row r="66" spans="2:14" x14ac:dyDescent="0.25">
      <c r="B66" s="71" t="s">
        <v>268</v>
      </c>
      <c r="C66" s="71"/>
      <c r="D66" s="71"/>
      <c r="E66" s="71"/>
      <c r="F66" s="71"/>
      <c r="G66" s="71"/>
      <c r="H66" s="71"/>
      <c r="I66" s="398"/>
      <c r="J66" s="398"/>
      <c r="K66" s="398"/>
      <c r="L66" s="398"/>
      <c r="M66" s="398"/>
      <c r="N66" s="398"/>
    </row>
    <row r="67" spans="2:14" x14ac:dyDescent="0.25">
      <c r="B67" s="853" t="s">
        <v>269</v>
      </c>
      <c r="C67" s="853"/>
      <c r="D67" s="853"/>
      <c r="E67" s="853"/>
      <c r="F67" s="853"/>
      <c r="G67" s="853"/>
      <c r="H67" s="853"/>
    </row>
    <row r="68" spans="2:14" x14ac:dyDescent="0.25">
      <c r="B68" s="854" t="s">
        <v>270</v>
      </c>
      <c r="C68" s="854"/>
      <c r="D68" s="854"/>
      <c r="E68" s="854"/>
      <c r="F68" s="854"/>
      <c r="G68" s="854"/>
      <c r="H68" s="854"/>
      <c r="I68" s="854"/>
      <c r="J68" s="854"/>
      <c r="K68" s="854"/>
      <c r="L68" s="854"/>
      <c r="M68" s="854"/>
      <c r="N68" s="854"/>
    </row>
    <row r="69" spans="2:14" x14ac:dyDescent="0.25">
      <c r="B69" s="46"/>
      <c r="C69" s="40"/>
      <c r="D69" s="40"/>
      <c r="E69" s="40"/>
      <c r="F69" s="40"/>
      <c r="G69" s="40"/>
      <c r="H69" s="40"/>
    </row>
    <row r="70" spans="2:14" x14ac:dyDescent="0.25">
      <c r="B70" s="46"/>
      <c r="C70" s="40"/>
      <c r="D70" s="40"/>
      <c r="E70" s="40"/>
      <c r="F70" s="40"/>
      <c r="G70" s="40"/>
      <c r="H70" s="40"/>
    </row>
    <row r="71" spans="2:14" x14ac:dyDescent="0.25">
      <c r="B71" s="719" t="s">
        <v>1178</v>
      </c>
      <c r="C71" s="719"/>
      <c r="D71" s="719"/>
      <c r="E71" s="719"/>
      <c r="F71" s="719"/>
      <c r="G71" s="719"/>
      <c r="H71" s="44"/>
    </row>
    <row r="72" spans="2:14" ht="15" customHeight="1" x14ac:dyDescent="0.25">
      <c r="B72" s="531"/>
      <c r="C72" s="389"/>
      <c r="D72" s="531"/>
      <c r="E72" s="666" t="s">
        <v>258</v>
      </c>
      <c r="F72" s="666"/>
      <c r="G72" s="666" t="s">
        <v>259</v>
      </c>
      <c r="H72" s="666"/>
      <c r="I72" s="666" t="s">
        <v>260</v>
      </c>
      <c r="J72" s="666" t="s">
        <v>261</v>
      </c>
      <c r="K72" s="666" t="s">
        <v>262</v>
      </c>
      <c r="L72" s="666" t="s">
        <v>90</v>
      </c>
      <c r="M72" s="666" t="s">
        <v>263</v>
      </c>
      <c r="N72" s="666"/>
    </row>
    <row r="73" spans="2:14" x14ac:dyDescent="0.25">
      <c r="B73" s="531"/>
      <c r="C73" s="389"/>
      <c r="D73" s="531"/>
      <c r="E73" s="667"/>
      <c r="F73" s="667"/>
      <c r="G73" s="667"/>
      <c r="H73" s="667"/>
      <c r="I73" s="667"/>
      <c r="J73" s="667"/>
      <c r="K73" s="667"/>
      <c r="L73" s="667"/>
      <c r="M73" s="667"/>
      <c r="N73" s="667"/>
    </row>
    <row r="74" spans="2:14" ht="15.75" thickBot="1" x14ac:dyDescent="0.3">
      <c r="B74" s="800" t="s">
        <v>12</v>
      </c>
      <c r="C74" s="800"/>
      <c r="D74" s="532" t="s">
        <v>264</v>
      </c>
      <c r="E74" s="847">
        <v>1107</v>
      </c>
      <c r="F74" s="848"/>
      <c r="G74" s="849">
        <v>0</v>
      </c>
      <c r="H74" s="849"/>
      <c r="I74" s="653">
        <v>0</v>
      </c>
      <c r="J74" s="653">
        <v>0</v>
      </c>
      <c r="K74" s="653">
        <v>0</v>
      </c>
      <c r="L74" s="659">
        <v>1107</v>
      </c>
      <c r="M74" s="841">
        <v>0.69920000000000004</v>
      </c>
      <c r="N74" s="841"/>
    </row>
    <row r="75" spans="2:14" ht="15.75" customHeight="1" thickBot="1" x14ac:dyDescent="0.3">
      <c r="B75" s="845"/>
      <c r="C75" s="845"/>
      <c r="D75" s="533" t="s">
        <v>265</v>
      </c>
      <c r="E75" s="850" t="s">
        <v>15</v>
      </c>
      <c r="F75" s="850"/>
      <c r="G75" s="851">
        <v>1007</v>
      </c>
      <c r="H75" s="852"/>
      <c r="I75" s="660" t="s">
        <v>15</v>
      </c>
      <c r="J75" s="655">
        <v>0</v>
      </c>
      <c r="K75" s="655">
        <v>0</v>
      </c>
      <c r="L75" s="661">
        <v>1107</v>
      </c>
      <c r="M75" s="840" t="s">
        <v>15</v>
      </c>
      <c r="N75" s="840"/>
    </row>
    <row r="76" spans="2:14" x14ac:dyDescent="0.25">
      <c r="B76" s="792" t="s">
        <v>90</v>
      </c>
      <c r="C76" s="792"/>
      <c r="D76" s="792"/>
      <c r="E76" s="855">
        <v>1107</v>
      </c>
      <c r="F76" s="844"/>
      <c r="G76" s="855">
        <v>1107</v>
      </c>
      <c r="H76" s="844"/>
      <c r="I76" s="521">
        <f>SUM(I74:I75)</f>
        <v>0</v>
      </c>
      <c r="J76" s="521">
        <f>SUM(J74:J75)</f>
        <v>0</v>
      </c>
      <c r="K76" s="521">
        <f>SUM(K74:K75)</f>
        <v>0</v>
      </c>
      <c r="L76" s="536">
        <v>2214</v>
      </c>
      <c r="M76" s="839">
        <v>0.69920000000000004</v>
      </c>
      <c r="N76" s="839"/>
    </row>
    <row r="77" spans="2:14" ht="14.25" customHeight="1" x14ac:dyDescent="0.25">
      <c r="B77" s="486"/>
      <c r="C77" s="486"/>
      <c r="D77" s="486"/>
      <c r="E77" s="486"/>
      <c r="F77" s="486"/>
      <c r="G77" s="486"/>
      <c r="H77" s="486"/>
      <c r="I77" s="398"/>
      <c r="J77" s="398"/>
      <c r="K77" s="398"/>
      <c r="L77" s="398"/>
      <c r="M77" s="398"/>
      <c r="N77" s="398"/>
    </row>
    <row r="78" spans="2:14" s="86" customFormat="1" ht="14.25" customHeight="1" x14ac:dyDescent="0.25">
      <c r="B78" s="531"/>
      <c r="C78" s="389"/>
      <c r="D78" s="531"/>
      <c r="E78" s="666" t="s">
        <v>258</v>
      </c>
      <c r="F78" s="666"/>
      <c r="G78" s="666" t="s">
        <v>259</v>
      </c>
      <c r="H78" s="666"/>
      <c r="I78" s="666" t="s">
        <v>260</v>
      </c>
      <c r="J78" s="666" t="s">
        <v>261</v>
      </c>
      <c r="K78" s="666" t="s">
        <v>262</v>
      </c>
      <c r="L78" s="666" t="s">
        <v>90</v>
      </c>
      <c r="M78" s="666" t="s">
        <v>263</v>
      </c>
      <c r="N78" s="666"/>
    </row>
    <row r="79" spans="2:14" s="86" customFormat="1" ht="19.5" customHeight="1" x14ac:dyDescent="0.25">
      <c r="B79" s="531"/>
      <c r="C79" s="389"/>
      <c r="D79" s="531"/>
      <c r="E79" s="667"/>
      <c r="F79" s="667"/>
      <c r="G79" s="667"/>
      <c r="H79" s="667"/>
      <c r="I79" s="667"/>
      <c r="J79" s="667"/>
      <c r="K79" s="667"/>
      <c r="L79" s="667"/>
      <c r="M79" s="667"/>
      <c r="N79" s="667"/>
    </row>
    <row r="80" spans="2:14" ht="15.75" thickBot="1" x14ac:dyDescent="0.3">
      <c r="B80" s="800" t="s">
        <v>12</v>
      </c>
      <c r="C80" s="800"/>
      <c r="D80" s="532" t="s">
        <v>264</v>
      </c>
      <c r="E80" s="856">
        <v>1264.5</v>
      </c>
      <c r="F80" s="761"/>
      <c r="G80" s="773">
        <v>0</v>
      </c>
      <c r="H80" s="773"/>
      <c r="I80" s="506">
        <v>0</v>
      </c>
      <c r="J80" s="506">
        <v>0</v>
      </c>
      <c r="K80" s="506">
        <v>0</v>
      </c>
      <c r="L80" s="537">
        <v>1264.5</v>
      </c>
      <c r="M80" s="841">
        <v>0.60499999999999998</v>
      </c>
      <c r="N80" s="841"/>
    </row>
    <row r="81" spans="2:18" ht="15.75" thickBot="1" x14ac:dyDescent="0.3">
      <c r="B81" s="845"/>
      <c r="C81" s="845"/>
      <c r="D81" s="533" t="s">
        <v>265</v>
      </c>
      <c r="E81" s="843" t="s">
        <v>15</v>
      </c>
      <c r="F81" s="843"/>
      <c r="G81" s="857">
        <v>1246.5</v>
      </c>
      <c r="H81" s="846"/>
      <c r="I81" s="534" t="s">
        <v>15</v>
      </c>
      <c r="J81" s="508">
        <v>0</v>
      </c>
      <c r="K81" s="508">
        <v>0</v>
      </c>
      <c r="L81" s="538">
        <v>1246.5</v>
      </c>
      <c r="M81" s="840" t="s">
        <v>15</v>
      </c>
      <c r="N81" s="840"/>
    </row>
    <row r="82" spans="2:18" x14ac:dyDescent="0.25">
      <c r="B82" s="792" t="s">
        <v>90</v>
      </c>
      <c r="C82" s="792"/>
      <c r="D82" s="792"/>
      <c r="E82" s="858">
        <v>1264.5</v>
      </c>
      <c r="F82" s="844"/>
      <c r="G82" s="858">
        <v>1246.5</v>
      </c>
      <c r="H82" s="844"/>
      <c r="I82" s="521">
        <f>SUM(I80:I81)</f>
        <v>0</v>
      </c>
      <c r="J82" s="521">
        <f>SUM(J80:J81)</f>
        <v>0</v>
      </c>
      <c r="K82" s="521">
        <f>SUM(K80:K81)</f>
        <v>0</v>
      </c>
      <c r="L82" s="521">
        <f>SUM(L80:L81)</f>
        <v>2511</v>
      </c>
      <c r="M82" s="839">
        <v>0.60499999999999998</v>
      </c>
      <c r="N82" s="839"/>
    </row>
    <row r="83" spans="2:18" x14ac:dyDescent="0.25">
      <c r="B83" s="44" t="s">
        <v>833</v>
      </c>
      <c r="C83" s="45"/>
      <c r="D83" s="45"/>
      <c r="E83" s="45"/>
      <c r="F83" s="45"/>
      <c r="G83" s="45"/>
      <c r="H83" s="45"/>
    </row>
    <row r="84" spans="2:18" x14ac:dyDescent="0.25">
      <c r="B84" s="535" t="s">
        <v>1113</v>
      </c>
      <c r="C84" s="535"/>
      <c r="D84" s="535"/>
      <c r="E84" s="535"/>
      <c r="F84" s="535"/>
      <c r="G84" s="535"/>
      <c r="H84" s="535"/>
      <c r="I84" s="398"/>
      <c r="J84" s="398"/>
      <c r="K84" s="398"/>
      <c r="L84" s="398"/>
      <c r="M84" s="398"/>
      <c r="N84" s="398"/>
    </row>
    <row r="85" spans="2:18" x14ac:dyDescent="0.25">
      <c r="B85" s="535" t="s">
        <v>266</v>
      </c>
      <c r="C85" s="535"/>
      <c r="D85" s="535"/>
      <c r="E85" s="535"/>
      <c r="F85" s="535"/>
      <c r="G85" s="535"/>
      <c r="H85" s="535"/>
      <c r="I85" s="398"/>
      <c r="J85" s="398"/>
      <c r="K85" s="398"/>
      <c r="L85" s="398"/>
      <c r="M85" s="398"/>
      <c r="N85" s="398"/>
    </row>
    <row r="86" spans="2:18" x14ac:dyDescent="0.25">
      <c r="B86" s="71" t="s">
        <v>267</v>
      </c>
      <c r="C86" s="71"/>
      <c r="D86" s="71"/>
      <c r="E86" s="71"/>
      <c r="F86" s="71"/>
      <c r="G86" s="71"/>
      <c r="H86" s="71"/>
      <c r="I86" s="398"/>
      <c r="J86" s="398"/>
      <c r="K86" s="398"/>
      <c r="L86" s="398"/>
      <c r="M86" s="398"/>
      <c r="N86" s="398"/>
    </row>
    <row r="87" spans="2:18" x14ac:dyDescent="0.25">
      <c r="B87" s="71" t="s">
        <v>268</v>
      </c>
      <c r="C87" s="71"/>
      <c r="D87" s="71"/>
      <c r="E87" s="71"/>
      <c r="F87" s="71"/>
      <c r="G87" s="71"/>
      <c r="H87" s="71"/>
      <c r="I87" s="398"/>
      <c r="J87" s="398"/>
      <c r="K87" s="398"/>
      <c r="L87" s="398"/>
      <c r="M87" s="398"/>
      <c r="N87" s="398"/>
    </row>
    <row r="88" spans="2:18" x14ac:dyDescent="0.25">
      <c r="B88" s="71" t="s">
        <v>269</v>
      </c>
      <c r="C88" s="71"/>
      <c r="D88" s="71"/>
      <c r="E88" s="71"/>
      <c r="F88" s="71"/>
      <c r="G88" s="71"/>
      <c r="H88" s="71"/>
      <c r="I88" s="398"/>
      <c r="J88" s="398"/>
      <c r="K88" s="398"/>
      <c r="L88" s="398"/>
      <c r="M88" s="398"/>
      <c r="N88" s="398"/>
    </row>
    <row r="89" spans="2:18" x14ac:dyDescent="0.25">
      <c r="B89" s="46" t="s">
        <v>270</v>
      </c>
      <c r="C89" s="47"/>
      <c r="D89" s="47"/>
      <c r="E89" s="47"/>
      <c r="F89" s="47"/>
      <c r="G89" s="47"/>
      <c r="H89" s="47"/>
    </row>
    <row r="90" spans="2:18" x14ac:dyDescent="0.25">
      <c r="B90" s="46"/>
      <c r="C90" s="47"/>
      <c r="D90" s="47"/>
      <c r="E90" s="47"/>
      <c r="F90" s="47"/>
      <c r="G90" s="47"/>
      <c r="H90" s="47"/>
    </row>
    <row r="91" spans="2:18" x14ac:dyDescent="0.25">
      <c r="B91" s="46"/>
      <c r="C91" s="47"/>
      <c r="D91" s="47"/>
      <c r="E91" s="47"/>
      <c r="F91" s="47"/>
      <c r="G91" s="47"/>
      <c r="H91" s="47"/>
    </row>
    <row r="92" spans="2:18" x14ac:dyDescent="0.25">
      <c r="B92" s="719" t="s">
        <v>1179</v>
      </c>
      <c r="C92" s="719"/>
      <c r="D92" s="719"/>
      <c r="E92" s="719"/>
      <c r="F92" s="719"/>
      <c r="G92" s="719"/>
      <c r="H92" s="40"/>
    </row>
    <row r="93" spans="2:18" ht="15" customHeight="1" x14ac:dyDescent="0.25">
      <c r="B93" s="791" t="s">
        <v>12</v>
      </c>
      <c r="C93" s="791"/>
      <c r="D93" s="791"/>
      <c r="E93" s="791"/>
      <c r="F93" s="791"/>
      <c r="G93" s="791"/>
      <c r="H93" s="791"/>
      <c r="I93" s="791"/>
      <c r="J93" s="791"/>
      <c r="K93" s="791"/>
      <c r="L93" s="791"/>
      <c r="M93" s="791"/>
      <c r="N93" s="791"/>
      <c r="O93" s="791"/>
      <c r="P93" s="791"/>
      <c r="Q93" s="791"/>
      <c r="R93" s="791"/>
    </row>
    <row r="94" spans="2:18" ht="31.5" customHeight="1" x14ac:dyDescent="0.25">
      <c r="B94" s="667" t="s">
        <v>271</v>
      </c>
      <c r="C94" s="667"/>
      <c r="D94" s="667" t="s">
        <v>272</v>
      </c>
      <c r="E94" s="667"/>
      <c r="F94" s="667"/>
      <c r="G94" s="484" t="s">
        <v>273</v>
      </c>
      <c r="H94" s="667" t="s">
        <v>274</v>
      </c>
      <c r="I94" s="667"/>
      <c r="J94" s="484" t="s">
        <v>275</v>
      </c>
      <c r="K94" s="484" t="s">
        <v>276</v>
      </c>
      <c r="L94" s="667" t="s">
        <v>277</v>
      </c>
      <c r="M94" s="667"/>
      <c r="N94" s="667" t="s">
        <v>247</v>
      </c>
      <c r="O94" s="667"/>
      <c r="P94" s="484" t="s">
        <v>278</v>
      </c>
      <c r="Q94" s="484" t="s">
        <v>279</v>
      </c>
      <c r="R94" s="484" t="s">
        <v>280</v>
      </c>
    </row>
    <row r="95" spans="2:18" ht="36.75" customHeight="1" thickBot="1" x14ac:dyDescent="0.3">
      <c r="B95" s="859">
        <v>37214001</v>
      </c>
      <c r="C95" s="859"/>
      <c r="D95" s="805" t="s">
        <v>281</v>
      </c>
      <c r="E95" s="805"/>
      <c r="F95" s="805"/>
      <c r="G95" s="548" t="s">
        <v>282</v>
      </c>
      <c r="H95" s="802" t="s">
        <v>283</v>
      </c>
      <c r="I95" s="802"/>
      <c r="J95" s="548">
        <v>6</v>
      </c>
      <c r="K95" s="548">
        <v>55</v>
      </c>
      <c r="L95" s="802" t="s">
        <v>284</v>
      </c>
      <c r="M95" s="802"/>
      <c r="N95" s="802" t="s">
        <v>285</v>
      </c>
      <c r="O95" s="802"/>
      <c r="P95" s="549">
        <v>243</v>
      </c>
      <c r="Q95" s="550">
        <v>0.10975609756097561</v>
      </c>
      <c r="R95" s="549">
        <v>1</v>
      </c>
    </row>
    <row r="96" spans="2:18" ht="36" customHeight="1" thickBot="1" x14ac:dyDescent="0.3">
      <c r="B96" s="804">
        <v>37214002</v>
      </c>
      <c r="C96" s="804"/>
      <c r="D96" s="805" t="s">
        <v>286</v>
      </c>
      <c r="E96" s="805"/>
      <c r="F96" s="805"/>
      <c r="G96" s="548" t="s">
        <v>282</v>
      </c>
      <c r="H96" s="802" t="s">
        <v>283</v>
      </c>
      <c r="I96" s="802"/>
      <c r="J96" s="548">
        <v>6</v>
      </c>
      <c r="K96" s="548">
        <v>56</v>
      </c>
      <c r="L96" s="802" t="s">
        <v>287</v>
      </c>
      <c r="M96" s="802"/>
      <c r="N96" s="802" t="s">
        <v>288</v>
      </c>
      <c r="O96" s="802"/>
      <c r="P96" s="549">
        <v>108</v>
      </c>
      <c r="Q96" s="550">
        <v>4.878048780487805E-2</v>
      </c>
      <c r="R96" s="549">
        <v>1</v>
      </c>
    </row>
    <row r="97" spans="1:18" ht="34.5" customHeight="1" thickBot="1" x14ac:dyDescent="0.3">
      <c r="B97" s="804">
        <v>37214003</v>
      </c>
      <c r="C97" s="804"/>
      <c r="D97" s="805" t="s">
        <v>289</v>
      </c>
      <c r="E97" s="805"/>
      <c r="F97" s="805"/>
      <c r="G97" s="548" t="s">
        <v>290</v>
      </c>
      <c r="H97" s="802" t="s">
        <v>283</v>
      </c>
      <c r="I97" s="802"/>
      <c r="J97" s="548">
        <v>6</v>
      </c>
      <c r="K97" s="548">
        <v>25</v>
      </c>
      <c r="L97" s="802" t="s">
        <v>287</v>
      </c>
      <c r="M97" s="802"/>
      <c r="N97" s="802" t="s">
        <v>288</v>
      </c>
      <c r="O97" s="802"/>
      <c r="P97" s="549">
        <v>108</v>
      </c>
      <c r="Q97" s="550">
        <v>4.878048780487805E-2</v>
      </c>
      <c r="R97" s="549">
        <v>1</v>
      </c>
    </row>
    <row r="98" spans="1:18" ht="30" customHeight="1" thickBot="1" x14ac:dyDescent="0.3">
      <c r="B98" s="804">
        <v>37214004</v>
      </c>
      <c r="C98" s="804"/>
      <c r="D98" s="805" t="s">
        <v>291</v>
      </c>
      <c r="E98" s="805"/>
      <c r="F98" s="805"/>
      <c r="G98" s="548" t="s">
        <v>290</v>
      </c>
      <c r="H98" s="802" t="s">
        <v>283</v>
      </c>
      <c r="I98" s="802"/>
      <c r="J98" s="548">
        <v>6</v>
      </c>
      <c r="K98" s="548">
        <v>28</v>
      </c>
      <c r="L98" s="802" t="s">
        <v>292</v>
      </c>
      <c r="M98" s="802"/>
      <c r="N98" s="802" t="s">
        <v>293</v>
      </c>
      <c r="O98" s="802"/>
      <c r="P98" s="549">
        <v>54</v>
      </c>
      <c r="Q98" s="550">
        <v>2.4390243902439025E-2</v>
      </c>
      <c r="R98" s="549">
        <v>1</v>
      </c>
    </row>
    <row r="99" spans="1:18" ht="31.5" customHeight="1" x14ac:dyDescent="0.25">
      <c r="A99" s="15"/>
      <c r="B99" s="801">
        <v>37214005</v>
      </c>
      <c r="C99" s="801"/>
      <c r="D99" s="806" t="s">
        <v>294</v>
      </c>
      <c r="E99" s="806"/>
      <c r="F99" s="806"/>
      <c r="G99" s="803" t="s">
        <v>282</v>
      </c>
      <c r="H99" s="801" t="s">
        <v>283</v>
      </c>
      <c r="I99" s="801"/>
      <c r="J99" s="803">
        <v>4</v>
      </c>
      <c r="K99" s="803">
        <v>43</v>
      </c>
      <c r="L99" s="801" t="s">
        <v>295</v>
      </c>
      <c r="M99" s="801"/>
      <c r="N99" s="801" t="s">
        <v>293</v>
      </c>
      <c r="O99" s="801"/>
      <c r="P99" s="495">
        <v>36</v>
      </c>
      <c r="Q99" s="547">
        <v>1.6260162601626018E-2</v>
      </c>
      <c r="R99" s="801">
        <v>1</v>
      </c>
    </row>
    <row r="100" spans="1:18" ht="31.5" customHeight="1" thickBot="1" x14ac:dyDescent="0.3">
      <c r="A100" s="15"/>
      <c r="B100" s="802"/>
      <c r="C100" s="802"/>
      <c r="D100" s="805"/>
      <c r="E100" s="805"/>
      <c r="F100" s="805"/>
      <c r="G100" s="804"/>
      <c r="H100" s="802"/>
      <c r="I100" s="802"/>
      <c r="J100" s="804"/>
      <c r="K100" s="804"/>
      <c r="L100" s="802" t="s">
        <v>296</v>
      </c>
      <c r="M100" s="802"/>
      <c r="N100" s="802" t="s">
        <v>293</v>
      </c>
      <c r="O100" s="802"/>
      <c r="P100" s="549">
        <v>18</v>
      </c>
      <c r="Q100" s="550">
        <v>8.130081300813009E-3</v>
      </c>
      <c r="R100" s="802"/>
    </row>
    <row r="101" spans="1:18" ht="35.25" customHeight="1" thickBot="1" x14ac:dyDescent="0.3">
      <c r="B101" s="804">
        <v>37214006</v>
      </c>
      <c r="C101" s="804"/>
      <c r="D101" s="805" t="s">
        <v>297</v>
      </c>
      <c r="E101" s="805"/>
      <c r="F101" s="805"/>
      <c r="G101" s="548" t="s">
        <v>282</v>
      </c>
      <c r="H101" s="802" t="s">
        <v>283</v>
      </c>
      <c r="I101" s="802"/>
      <c r="J101" s="548">
        <v>6</v>
      </c>
      <c r="K101" s="548">
        <v>43</v>
      </c>
      <c r="L101" s="802" t="s">
        <v>298</v>
      </c>
      <c r="M101" s="802"/>
      <c r="N101" s="802" t="s">
        <v>299</v>
      </c>
      <c r="O101" s="802"/>
      <c r="P101" s="549">
        <v>225</v>
      </c>
      <c r="Q101" s="550">
        <v>0.1016260162601626</v>
      </c>
      <c r="R101" s="549">
        <v>1</v>
      </c>
    </row>
    <row r="102" spans="1:18" ht="42" customHeight="1" thickBot="1" x14ac:dyDescent="0.3">
      <c r="B102" s="804">
        <v>37214007</v>
      </c>
      <c r="C102" s="804"/>
      <c r="D102" s="805" t="s">
        <v>300</v>
      </c>
      <c r="E102" s="805"/>
      <c r="F102" s="805"/>
      <c r="G102" s="548" t="s">
        <v>290</v>
      </c>
      <c r="H102" s="802" t="s">
        <v>283</v>
      </c>
      <c r="I102" s="802"/>
      <c r="J102" s="548">
        <v>6</v>
      </c>
      <c r="K102" s="548">
        <v>25</v>
      </c>
      <c r="L102" s="802" t="s">
        <v>284</v>
      </c>
      <c r="M102" s="802"/>
      <c r="N102" s="746" t="s">
        <v>285</v>
      </c>
      <c r="O102" s="746"/>
      <c r="P102" s="549">
        <v>243</v>
      </c>
      <c r="Q102" s="550">
        <v>0.10975609756097561</v>
      </c>
      <c r="R102" s="549">
        <v>1</v>
      </c>
    </row>
    <row r="103" spans="1:18" ht="33" customHeight="1" thickBot="1" x14ac:dyDescent="0.3">
      <c r="B103" s="804">
        <v>37214008</v>
      </c>
      <c r="C103" s="804"/>
      <c r="D103" s="805" t="s">
        <v>301</v>
      </c>
      <c r="E103" s="805"/>
      <c r="F103" s="805"/>
      <c r="G103" s="548" t="s">
        <v>290</v>
      </c>
      <c r="H103" s="802" t="s">
        <v>283</v>
      </c>
      <c r="I103" s="802"/>
      <c r="J103" s="548">
        <v>6</v>
      </c>
      <c r="K103" s="548">
        <v>26</v>
      </c>
      <c r="L103" s="802" t="s">
        <v>302</v>
      </c>
      <c r="M103" s="802"/>
      <c r="N103" s="746" t="s">
        <v>285</v>
      </c>
      <c r="O103" s="746"/>
      <c r="P103" s="549">
        <v>144</v>
      </c>
      <c r="Q103" s="550">
        <v>6.5040650406504072E-2</v>
      </c>
      <c r="R103" s="549">
        <v>1</v>
      </c>
    </row>
    <row r="104" spans="1:18" ht="33.75" customHeight="1" thickBot="1" x14ac:dyDescent="0.3">
      <c r="B104" s="804">
        <v>37214009</v>
      </c>
      <c r="C104" s="804"/>
      <c r="D104" s="805" t="s">
        <v>303</v>
      </c>
      <c r="E104" s="805"/>
      <c r="F104" s="805"/>
      <c r="G104" s="548" t="s">
        <v>290</v>
      </c>
      <c r="H104" s="802" t="s">
        <v>283</v>
      </c>
      <c r="I104" s="802"/>
      <c r="J104" s="548">
        <v>6</v>
      </c>
      <c r="K104" s="548">
        <v>26</v>
      </c>
      <c r="L104" s="802" t="s">
        <v>304</v>
      </c>
      <c r="M104" s="802"/>
      <c r="N104" s="802" t="s">
        <v>305</v>
      </c>
      <c r="O104" s="802"/>
      <c r="P104" s="549">
        <v>216</v>
      </c>
      <c r="Q104" s="550">
        <v>9.7560975609756101E-2</v>
      </c>
      <c r="R104" s="549">
        <v>1</v>
      </c>
    </row>
    <row r="105" spans="1:18" ht="38.25" customHeight="1" thickBot="1" x14ac:dyDescent="0.3">
      <c r="B105" s="804">
        <v>37214010</v>
      </c>
      <c r="C105" s="804"/>
      <c r="D105" s="805" t="s">
        <v>306</v>
      </c>
      <c r="E105" s="805"/>
      <c r="F105" s="805"/>
      <c r="G105" s="548" t="s">
        <v>282</v>
      </c>
      <c r="H105" s="802" t="s">
        <v>283</v>
      </c>
      <c r="I105" s="802"/>
      <c r="J105" s="548">
        <v>6</v>
      </c>
      <c r="K105" s="548">
        <v>51</v>
      </c>
      <c r="L105" s="802" t="s">
        <v>307</v>
      </c>
      <c r="M105" s="802"/>
      <c r="N105" s="802" t="s">
        <v>293</v>
      </c>
      <c r="O105" s="802"/>
      <c r="P105" s="549">
        <v>72</v>
      </c>
      <c r="Q105" s="550">
        <v>3.2520325203252036E-2</v>
      </c>
      <c r="R105" s="549">
        <v>1</v>
      </c>
    </row>
    <row r="106" spans="1:18" ht="24.75" customHeight="1" thickBot="1" x14ac:dyDescent="0.3">
      <c r="B106" s="804">
        <v>37214101</v>
      </c>
      <c r="C106" s="804"/>
      <c r="D106" s="805" t="s">
        <v>308</v>
      </c>
      <c r="E106" s="805"/>
      <c r="F106" s="805"/>
      <c r="G106" s="548" t="s">
        <v>282</v>
      </c>
      <c r="H106" s="802" t="s">
        <v>309</v>
      </c>
      <c r="I106" s="802"/>
      <c r="J106" s="548">
        <v>6</v>
      </c>
      <c r="K106" s="548">
        <v>43</v>
      </c>
      <c r="L106" s="802" t="s">
        <v>298</v>
      </c>
      <c r="M106" s="802"/>
      <c r="N106" s="802" t="s">
        <v>299</v>
      </c>
      <c r="O106" s="802"/>
      <c r="P106" s="549">
        <v>225</v>
      </c>
      <c r="Q106" s="550">
        <v>0.1016260162601626</v>
      </c>
      <c r="R106" s="549">
        <v>1</v>
      </c>
    </row>
    <row r="107" spans="1:18" ht="31.5" customHeight="1" thickBot="1" x14ac:dyDescent="0.3">
      <c r="B107" s="804">
        <v>37214102</v>
      </c>
      <c r="C107" s="804"/>
      <c r="D107" s="805" t="s">
        <v>310</v>
      </c>
      <c r="E107" s="805"/>
      <c r="F107" s="805"/>
      <c r="G107" s="548" t="s">
        <v>282</v>
      </c>
      <c r="H107" s="802" t="s">
        <v>309</v>
      </c>
      <c r="I107" s="802"/>
      <c r="J107" s="548">
        <v>6</v>
      </c>
      <c r="K107" s="548">
        <v>42</v>
      </c>
      <c r="L107" s="802" t="s">
        <v>311</v>
      </c>
      <c r="M107" s="802"/>
      <c r="N107" s="802" t="s">
        <v>293</v>
      </c>
      <c r="O107" s="802"/>
      <c r="P107" s="549">
        <v>54</v>
      </c>
      <c r="Q107" s="550">
        <v>2.4390243902439025E-2</v>
      </c>
      <c r="R107" s="549">
        <v>1</v>
      </c>
    </row>
    <row r="108" spans="1:18" ht="26.25" customHeight="1" thickBot="1" x14ac:dyDescent="0.3">
      <c r="B108" s="802">
        <v>37214103</v>
      </c>
      <c r="C108" s="802"/>
      <c r="D108" s="805" t="s">
        <v>312</v>
      </c>
      <c r="E108" s="805"/>
      <c r="F108" s="805"/>
      <c r="G108" s="548" t="s">
        <v>313</v>
      </c>
      <c r="H108" s="802" t="s">
        <v>309</v>
      </c>
      <c r="I108" s="802"/>
      <c r="J108" s="548">
        <v>6</v>
      </c>
      <c r="K108" s="548">
        <v>16</v>
      </c>
      <c r="L108" s="802" t="s">
        <v>298</v>
      </c>
      <c r="M108" s="802"/>
      <c r="N108" s="802" t="s">
        <v>299</v>
      </c>
      <c r="O108" s="802"/>
      <c r="P108" s="549">
        <v>225</v>
      </c>
      <c r="Q108" s="550">
        <v>0.1016260162601626</v>
      </c>
      <c r="R108" s="549">
        <v>1</v>
      </c>
    </row>
    <row r="109" spans="1:18" ht="31.5" customHeight="1" thickBot="1" x14ac:dyDescent="0.3">
      <c r="B109" s="804">
        <v>37214104</v>
      </c>
      <c r="C109" s="804"/>
      <c r="D109" s="805" t="s">
        <v>314</v>
      </c>
      <c r="E109" s="805"/>
      <c r="F109" s="805"/>
      <c r="G109" s="548" t="s">
        <v>282</v>
      </c>
      <c r="H109" s="802" t="s">
        <v>309</v>
      </c>
      <c r="I109" s="802"/>
      <c r="J109" s="548">
        <v>6</v>
      </c>
      <c r="K109" s="548">
        <v>32</v>
      </c>
      <c r="L109" s="802" t="s">
        <v>304</v>
      </c>
      <c r="M109" s="802"/>
      <c r="N109" s="802" t="s">
        <v>305</v>
      </c>
      <c r="O109" s="802"/>
      <c r="P109" s="549">
        <v>216</v>
      </c>
      <c r="Q109" s="550">
        <v>9.7560975609756101E-2</v>
      </c>
      <c r="R109" s="549">
        <v>1</v>
      </c>
    </row>
    <row r="110" spans="1:18" ht="31.5" customHeight="1" thickBot="1" x14ac:dyDescent="0.3">
      <c r="B110" s="804">
        <v>37214105</v>
      </c>
      <c r="C110" s="804"/>
      <c r="D110" s="805" t="s">
        <v>315</v>
      </c>
      <c r="E110" s="805"/>
      <c r="F110" s="805"/>
      <c r="G110" s="548" t="s">
        <v>290</v>
      </c>
      <c r="H110" s="802" t="s">
        <v>309</v>
      </c>
      <c r="I110" s="802"/>
      <c r="J110" s="548">
        <v>6</v>
      </c>
      <c r="K110" s="548">
        <v>23</v>
      </c>
      <c r="L110" s="802" t="s">
        <v>316</v>
      </c>
      <c r="M110" s="802"/>
      <c r="N110" s="802" t="s">
        <v>305</v>
      </c>
      <c r="O110" s="802"/>
      <c r="P110" s="549">
        <v>126</v>
      </c>
      <c r="Q110" s="550">
        <v>5.6910569105691054E-2</v>
      </c>
      <c r="R110" s="549">
        <v>1</v>
      </c>
    </row>
    <row r="111" spans="1:18" ht="31.5" customHeight="1" x14ac:dyDescent="0.25">
      <c r="B111" s="801">
        <v>37214106</v>
      </c>
      <c r="C111" s="801"/>
      <c r="D111" s="806" t="s">
        <v>317</v>
      </c>
      <c r="E111" s="806"/>
      <c r="F111" s="806"/>
      <c r="G111" s="803" t="s">
        <v>282</v>
      </c>
      <c r="H111" s="801" t="s">
        <v>309</v>
      </c>
      <c r="I111" s="801"/>
      <c r="J111" s="803">
        <v>12</v>
      </c>
      <c r="K111" s="803">
        <v>44</v>
      </c>
      <c r="L111" s="801" t="s">
        <v>318</v>
      </c>
      <c r="M111" s="801"/>
      <c r="N111" s="801" t="s">
        <v>293</v>
      </c>
      <c r="O111" s="801"/>
      <c r="P111" s="495">
        <v>27</v>
      </c>
      <c r="Q111" s="547">
        <v>1.2195121951219513E-2</v>
      </c>
      <c r="R111" s="801">
        <v>1</v>
      </c>
    </row>
    <row r="112" spans="1:18" ht="31.5" customHeight="1" x14ac:dyDescent="0.25">
      <c r="B112" s="801"/>
      <c r="C112" s="801"/>
      <c r="D112" s="806"/>
      <c r="E112" s="806"/>
      <c r="F112" s="806"/>
      <c r="G112" s="803"/>
      <c r="H112" s="801"/>
      <c r="I112" s="801"/>
      <c r="J112" s="803"/>
      <c r="K112" s="803"/>
      <c r="L112" s="801" t="s">
        <v>319</v>
      </c>
      <c r="M112" s="801"/>
      <c r="N112" s="801" t="s">
        <v>293</v>
      </c>
      <c r="O112" s="801"/>
      <c r="P112" s="495">
        <v>27</v>
      </c>
      <c r="Q112" s="547">
        <v>1.2195121951219513E-2</v>
      </c>
      <c r="R112" s="801"/>
    </row>
    <row r="113" spans="2:18" ht="31.5" customHeight="1" thickBot="1" x14ac:dyDescent="0.3">
      <c r="B113" s="802"/>
      <c r="C113" s="802"/>
      <c r="D113" s="805"/>
      <c r="E113" s="805"/>
      <c r="F113" s="805"/>
      <c r="G113" s="804"/>
      <c r="H113" s="802"/>
      <c r="I113" s="802"/>
      <c r="J113" s="804"/>
      <c r="K113" s="804"/>
      <c r="L113" s="802" t="s">
        <v>320</v>
      </c>
      <c r="M113" s="802"/>
      <c r="N113" s="802" t="s">
        <v>293</v>
      </c>
      <c r="O113" s="802"/>
      <c r="P113" s="549">
        <v>108</v>
      </c>
      <c r="Q113" s="550">
        <v>4.878048780487805E-2</v>
      </c>
      <c r="R113" s="802"/>
    </row>
    <row r="114" spans="2:18" ht="31.5" customHeight="1" x14ac:dyDescent="0.25">
      <c r="B114" s="801">
        <v>37214107</v>
      </c>
      <c r="C114" s="801"/>
      <c r="D114" s="806" t="s">
        <v>321</v>
      </c>
      <c r="E114" s="806"/>
      <c r="F114" s="806"/>
      <c r="G114" s="803" t="s">
        <v>290</v>
      </c>
      <c r="H114" s="801" t="s">
        <v>309</v>
      </c>
      <c r="I114" s="801"/>
      <c r="J114" s="803">
        <v>12</v>
      </c>
      <c r="K114" s="803">
        <v>25</v>
      </c>
      <c r="L114" s="801" t="s">
        <v>322</v>
      </c>
      <c r="M114" s="801"/>
      <c r="N114" s="801" t="s">
        <v>323</v>
      </c>
      <c r="O114" s="801"/>
      <c r="P114" s="495">
        <v>54</v>
      </c>
      <c r="Q114" s="547">
        <v>2.4390243902439025E-2</v>
      </c>
      <c r="R114" s="801">
        <v>1</v>
      </c>
    </row>
    <row r="115" spans="2:18" ht="22.5" customHeight="1" thickBot="1" x14ac:dyDescent="0.3">
      <c r="B115" s="802"/>
      <c r="C115" s="802"/>
      <c r="D115" s="805"/>
      <c r="E115" s="805"/>
      <c r="F115" s="805"/>
      <c r="G115" s="804"/>
      <c r="H115" s="802"/>
      <c r="I115" s="802"/>
      <c r="J115" s="804"/>
      <c r="K115" s="804"/>
      <c r="L115" s="802" t="s">
        <v>304</v>
      </c>
      <c r="M115" s="802"/>
      <c r="N115" s="802" t="s">
        <v>305</v>
      </c>
      <c r="O115" s="802"/>
      <c r="P115" s="549">
        <v>216</v>
      </c>
      <c r="Q115" s="550">
        <v>9.7560975609756101E-2</v>
      </c>
      <c r="R115" s="802"/>
    </row>
    <row r="116" spans="2:18" ht="31.5" customHeight="1" x14ac:dyDescent="0.25">
      <c r="B116" s="801">
        <v>37214108</v>
      </c>
      <c r="C116" s="801"/>
      <c r="D116" s="806" t="s">
        <v>324</v>
      </c>
      <c r="E116" s="806"/>
      <c r="F116" s="806"/>
      <c r="G116" s="803" t="s">
        <v>313</v>
      </c>
      <c r="H116" s="801" t="s">
        <v>309</v>
      </c>
      <c r="I116" s="801"/>
      <c r="J116" s="803">
        <v>12</v>
      </c>
      <c r="K116" s="803">
        <v>18</v>
      </c>
      <c r="L116" s="801" t="s">
        <v>325</v>
      </c>
      <c r="M116" s="801"/>
      <c r="N116" s="801" t="s">
        <v>293</v>
      </c>
      <c r="O116" s="801"/>
      <c r="P116" s="495">
        <v>72</v>
      </c>
      <c r="Q116" s="547">
        <v>3.2520325203252036E-2</v>
      </c>
      <c r="R116" s="801">
        <v>1</v>
      </c>
    </row>
    <row r="117" spans="2:18" ht="19.5" customHeight="1" thickBot="1" x14ac:dyDescent="0.3">
      <c r="B117" s="802"/>
      <c r="C117" s="802"/>
      <c r="D117" s="805"/>
      <c r="E117" s="805"/>
      <c r="F117" s="805"/>
      <c r="G117" s="804"/>
      <c r="H117" s="802"/>
      <c r="I117" s="802"/>
      <c r="J117" s="804"/>
      <c r="K117" s="804"/>
      <c r="L117" s="802" t="s">
        <v>284</v>
      </c>
      <c r="M117" s="802"/>
      <c r="N117" s="802" t="s">
        <v>285</v>
      </c>
      <c r="O117" s="802"/>
      <c r="P117" s="549">
        <v>243</v>
      </c>
      <c r="Q117" s="550">
        <v>0.10975609756097561</v>
      </c>
      <c r="R117" s="802"/>
    </row>
    <row r="118" spans="2:18" ht="31.5" customHeight="1" thickBot="1" x14ac:dyDescent="0.3">
      <c r="B118" s="802">
        <v>37214109</v>
      </c>
      <c r="C118" s="802"/>
      <c r="D118" s="805" t="s">
        <v>326</v>
      </c>
      <c r="E118" s="805"/>
      <c r="F118" s="805"/>
      <c r="G118" s="548" t="s">
        <v>290</v>
      </c>
      <c r="H118" s="802" t="s">
        <v>309</v>
      </c>
      <c r="I118" s="802"/>
      <c r="J118" s="548">
        <v>6</v>
      </c>
      <c r="K118" s="548">
        <v>30</v>
      </c>
      <c r="L118" s="802" t="s">
        <v>327</v>
      </c>
      <c r="M118" s="802"/>
      <c r="N118" s="746" t="s">
        <v>285</v>
      </c>
      <c r="O118" s="746"/>
      <c r="P118" s="549">
        <v>234</v>
      </c>
      <c r="Q118" s="550">
        <v>0.10569105691056911</v>
      </c>
      <c r="R118" s="549">
        <v>1</v>
      </c>
    </row>
    <row r="119" spans="2:18" ht="31.5" customHeight="1" thickBot="1" x14ac:dyDescent="0.3">
      <c r="B119" s="802">
        <v>37214110</v>
      </c>
      <c r="C119" s="802"/>
      <c r="D119" s="805" t="s">
        <v>328</v>
      </c>
      <c r="E119" s="805"/>
      <c r="F119" s="805"/>
      <c r="G119" s="548" t="s">
        <v>313</v>
      </c>
      <c r="H119" s="802" t="s">
        <v>309</v>
      </c>
      <c r="I119" s="802"/>
      <c r="J119" s="548">
        <v>6</v>
      </c>
      <c r="K119" s="548">
        <v>15</v>
      </c>
      <c r="L119" s="802" t="s">
        <v>327</v>
      </c>
      <c r="M119" s="802"/>
      <c r="N119" s="746" t="s">
        <v>285</v>
      </c>
      <c r="O119" s="746"/>
      <c r="P119" s="549">
        <v>234</v>
      </c>
      <c r="Q119" s="550">
        <v>0.10569105691056911</v>
      </c>
      <c r="R119" s="549">
        <v>1</v>
      </c>
    </row>
    <row r="120" spans="2:18" ht="23.25" customHeight="1" x14ac:dyDescent="0.25">
      <c r="B120" s="801">
        <v>37214111</v>
      </c>
      <c r="C120" s="801"/>
      <c r="D120" s="806" t="s">
        <v>329</v>
      </c>
      <c r="E120" s="806"/>
      <c r="F120" s="806"/>
      <c r="G120" s="803" t="s">
        <v>330</v>
      </c>
      <c r="H120" s="801" t="s">
        <v>309</v>
      </c>
      <c r="I120" s="801"/>
      <c r="J120" s="803">
        <v>6</v>
      </c>
      <c r="K120" s="803">
        <v>20</v>
      </c>
      <c r="L120" s="801" t="s">
        <v>304</v>
      </c>
      <c r="M120" s="801"/>
      <c r="N120" s="801" t="s">
        <v>305</v>
      </c>
      <c r="O120" s="801"/>
      <c r="P120" s="495">
        <v>216</v>
      </c>
      <c r="Q120" s="547">
        <v>9.7560975609756101E-2</v>
      </c>
      <c r="R120" s="801">
        <v>1</v>
      </c>
    </row>
    <row r="121" spans="2:18" ht="21.75" customHeight="1" thickBot="1" x14ac:dyDescent="0.3">
      <c r="B121" s="802"/>
      <c r="C121" s="802"/>
      <c r="D121" s="805"/>
      <c r="E121" s="805"/>
      <c r="F121" s="805"/>
      <c r="G121" s="804"/>
      <c r="H121" s="802"/>
      <c r="I121" s="802"/>
      <c r="J121" s="804"/>
      <c r="K121" s="804"/>
      <c r="L121" s="802" t="s">
        <v>284</v>
      </c>
      <c r="M121" s="802"/>
      <c r="N121" s="802" t="s">
        <v>285</v>
      </c>
      <c r="O121" s="802"/>
      <c r="P121" s="549">
        <v>243</v>
      </c>
      <c r="Q121" s="550">
        <v>0.10975609756097561</v>
      </c>
      <c r="R121" s="802"/>
    </row>
    <row r="122" spans="2:18" ht="36" customHeight="1" thickBot="1" x14ac:dyDescent="0.3">
      <c r="B122" s="804">
        <v>37214112</v>
      </c>
      <c r="C122" s="804"/>
      <c r="D122" s="805" t="s">
        <v>331</v>
      </c>
      <c r="E122" s="805"/>
      <c r="F122" s="805"/>
      <c r="G122" s="548" t="s">
        <v>313</v>
      </c>
      <c r="H122" s="802" t="s">
        <v>309</v>
      </c>
      <c r="I122" s="802"/>
      <c r="J122" s="548">
        <v>6</v>
      </c>
      <c r="K122" s="548">
        <v>19</v>
      </c>
      <c r="L122" s="802" t="s">
        <v>284</v>
      </c>
      <c r="M122" s="802"/>
      <c r="N122" s="802" t="s">
        <v>285</v>
      </c>
      <c r="O122" s="802"/>
      <c r="P122" s="549">
        <v>243</v>
      </c>
      <c r="Q122" s="550">
        <v>0.10975609756097561</v>
      </c>
      <c r="R122" s="549">
        <v>1</v>
      </c>
    </row>
    <row r="123" spans="2:18" ht="39.75" customHeight="1" thickBot="1" x14ac:dyDescent="0.3">
      <c r="B123" s="804">
        <v>37214113</v>
      </c>
      <c r="C123" s="804"/>
      <c r="D123" s="805" t="s">
        <v>332</v>
      </c>
      <c r="E123" s="805"/>
      <c r="F123" s="805"/>
      <c r="G123" s="548" t="s">
        <v>313</v>
      </c>
      <c r="H123" s="802" t="s">
        <v>309</v>
      </c>
      <c r="I123" s="802"/>
      <c r="J123" s="548">
        <v>6</v>
      </c>
      <c r="K123" s="548">
        <v>14</v>
      </c>
      <c r="L123" s="802" t="s">
        <v>327</v>
      </c>
      <c r="M123" s="802"/>
      <c r="N123" s="746" t="s">
        <v>285</v>
      </c>
      <c r="O123" s="746"/>
      <c r="P123" s="549">
        <v>234</v>
      </c>
      <c r="Q123" s="550">
        <v>0.10569105691056911</v>
      </c>
      <c r="R123" s="549">
        <v>1</v>
      </c>
    </row>
    <row r="124" spans="2:18" ht="28.5" customHeight="1" x14ac:dyDescent="0.25">
      <c r="B124" s="801">
        <v>37214114</v>
      </c>
      <c r="C124" s="801"/>
      <c r="D124" s="806" t="s">
        <v>333</v>
      </c>
      <c r="E124" s="806"/>
      <c r="F124" s="806"/>
      <c r="G124" s="803" t="s">
        <v>313</v>
      </c>
      <c r="H124" s="801" t="s">
        <v>309</v>
      </c>
      <c r="I124" s="801"/>
      <c r="J124" s="803">
        <v>6</v>
      </c>
      <c r="K124" s="803">
        <v>10</v>
      </c>
      <c r="L124" s="801" t="s">
        <v>334</v>
      </c>
      <c r="M124" s="801"/>
      <c r="N124" s="801" t="s">
        <v>288</v>
      </c>
      <c r="O124" s="801"/>
      <c r="P124" s="495">
        <v>18</v>
      </c>
      <c r="Q124" s="547">
        <v>8.130081300813009E-3</v>
      </c>
      <c r="R124" s="801">
        <v>1</v>
      </c>
    </row>
    <row r="125" spans="2:18" ht="28.5" customHeight="1" thickBot="1" x14ac:dyDescent="0.3">
      <c r="B125" s="802"/>
      <c r="C125" s="802"/>
      <c r="D125" s="805"/>
      <c r="E125" s="805"/>
      <c r="F125" s="805"/>
      <c r="G125" s="804"/>
      <c r="H125" s="802"/>
      <c r="I125" s="802"/>
      <c r="J125" s="804"/>
      <c r="K125" s="804"/>
      <c r="L125" s="802" t="s">
        <v>335</v>
      </c>
      <c r="M125" s="802"/>
      <c r="N125" s="802" t="s">
        <v>336</v>
      </c>
      <c r="O125" s="802"/>
      <c r="P125" s="549">
        <v>36</v>
      </c>
      <c r="Q125" s="550">
        <v>1.6260162601626018E-2</v>
      </c>
      <c r="R125" s="802"/>
    </row>
    <row r="126" spans="2:18" ht="30" customHeight="1" thickBot="1" x14ac:dyDescent="0.3">
      <c r="B126" s="802">
        <v>37214115</v>
      </c>
      <c r="C126" s="802"/>
      <c r="D126" s="805" t="s">
        <v>337</v>
      </c>
      <c r="E126" s="805"/>
      <c r="F126" s="805"/>
      <c r="G126" s="548" t="s">
        <v>330</v>
      </c>
      <c r="H126" s="802" t="s">
        <v>309</v>
      </c>
      <c r="I126" s="802"/>
      <c r="J126" s="548">
        <v>6</v>
      </c>
      <c r="K126" s="548">
        <v>17</v>
      </c>
      <c r="L126" s="802" t="s">
        <v>327</v>
      </c>
      <c r="M126" s="802"/>
      <c r="N126" s="746" t="s">
        <v>285</v>
      </c>
      <c r="O126" s="746"/>
      <c r="P126" s="549">
        <v>234</v>
      </c>
      <c r="Q126" s="550">
        <v>0.10569105691056911</v>
      </c>
      <c r="R126" s="549">
        <v>1</v>
      </c>
    </row>
    <row r="127" spans="2:18" ht="31.5" customHeight="1" x14ac:dyDescent="0.25">
      <c r="B127" s="801">
        <v>37214116</v>
      </c>
      <c r="C127" s="801"/>
      <c r="D127" s="806" t="s">
        <v>338</v>
      </c>
      <c r="E127" s="806"/>
      <c r="F127" s="806"/>
      <c r="G127" s="803" t="s">
        <v>290</v>
      </c>
      <c r="H127" s="801" t="s">
        <v>309</v>
      </c>
      <c r="I127" s="801"/>
      <c r="J127" s="803">
        <v>6</v>
      </c>
      <c r="K127" s="803">
        <v>27</v>
      </c>
      <c r="L127" s="801" t="s">
        <v>339</v>
      </c>
      <c r="M127" s="801"/>
      <c r="N127" s="801" t="s">
        <v>293</v>
      </c>
      <c r="O127" s="801"/>
      <c r="P127" s="495">
        <v>27</v>
      </c>
      <c r="Q127" s="547">
        <v>1.2195121951219513E-2</v>
      </c>
      <c r="R127" s="801">
        <v>1</v>
      </c>
    </row>
    <row r="128" spans="2:18" ht="31.5" customHeight="1" thickBot="1" x14ac:dyDescent="0.3">
      <c r="B128" s="802"/>
      <c r="C128" s="802"/>
      <c r="D128" s="805"/>
      <c r="E128" s="805"/>
      <c r="F128" s="805"/>
      <c r="G128" s="804"/>
      <c r="H128" s="802"/>
      <c r="I128" s="802"/>
      <c r="J128" s="804"/>
      <c r="K128" s="804"/>
      <c r="L128" s="802" t="s">
        <v>340</v>
      </c>
      <c r="M128" s="802"/>
      <c r="N128" s="802" t="s">
        <v>293</v>
      </c>
      <c r="O128" s="802"/>
      <c r="P128" s="549">
        <v>27</v>
      </c>
      <c r="Q128" s="550">
        <v>1.2195121951219513E-2</v>
      </c>
      <c r="R128" s="802"/>
    </row>
    <row r="129" spans="2:18" ht="35.25" customHeight="1" thickBot="1" x14ac:dyDescent="0.3">
      <c r="B129" s="802">
        <v>37214117</v>
      </c>
      <c r="C129" s="802"/>
      <c r="D129" s="805" t="s">
        <v>341</v>
      </c>
      <c r="E129" s="805"/>
      <c r="F129" s="805"/>
      <c r="G129" s="548" t="s">
        <v>313</v>
      </c>
      <c r="H129" s="802" t="s">
        <v>309</v>
      </c>
      <c r="I129" s="802"/>
      <c r="J129" s="548">
        <v>6</v>
      </c>
      <c r="K129" s="548">
        <v>14</v>
      </c>
      <c r="L129" s="802" t="s">
        <v>342</v>
      </c>
      <c r="M129" s="802"/>
      <c r="N129" s="802" t="s">
        <v>293</v>
      </c>
      <c r="O129" s="802"/>
      <c r="P129" s="549">
        <v>54</v>
      </c>
      <c r="Q129" s="550">
        <v>2.4390243902439025E-2</v>
      </c>
      <c r="R129" s="549">
        <v>1</v>
      </c>
    </row>
    <row r="130" spans="2:18" ht="31.5" customHeight="1" x14ac:dyDescent="0.25">
      <c r="B130" s="801">
        <v>37214118</v>
      </c>
      <c r="C130" s="801"/>
      <c r="D130" s="806" t="s">
        <v>343</v>
      </c>
      <c r="E130" s="806"/>
      <c r="F130" s="806"/>
      <c r="G130" s="803" t="s">
        <v>313</v>
      </c>
      <c r="H130" s="801" t="s">
        <v>309</v>
      </c>
      <c r="I130" s="801"/>
      <c r="J130" s="803">
        <v>6</v>
      </c>
      <c r="K130" s="803">
        <v>15</v>
      </c>
      <c r="L130" s="801" t="s">
        <v>344</v>
      </c>
      <c r="M130" s="801"/>
      <c r="N130" s="801" t="s">
        <v>293</v>
      </c>
      <c r="O130" s="801"/>
      <c r="P130" s="495">
        <v>27</v>
      </c>
      <c r="Q130" s="547">
        <v>1.2195121951219513E-2</v>
      </c>
      <c r="R130" s="801">
        <v>1</v>
      </c>
    </row>
    <row r="131" spans="2:18" ht="31.5" customHeight="1" thickBot="1" x14ac:dyDescent="0.3">
      <c r="B131" s="802"/>
      <c r="C131" s="802"/>
      <c r="D131" s="805"/>
      <c r="E131" s="805"/>
      <c r="F131" s="805"/>
      <c r="G131" s="804"/>
      <c r="H131" s="802"/>
      <c r="I131" s="802"/>
      <c r="J131" s="804"/>
      <c r="K131" s="804"/>
      <c r="L131" s="802" t="s">
        <v>345</v>
      </c>
      <c r="M131" s="802"/>
      <c r="N131" s="802" t="s">
        <v>293</v>
      </c>
      <c r="O131" s="802"/>
      <c r="P131" s="549">
        <v>27</v>
      </c>
      <c r="Q131" s="550">
        <v>1.2195121951219513E-2</v>
      </c>
      <c r="R131" s="802"/>
    </row>
    <row r="132" spans="2:18" ht="42" customHeight="1" x14ac:dyDescent="0.25">
      <c r="B132" s="801">
        <v>37214119</v>
      </c>
      <c r="C132" s="801"/>
      <c r="D132" s="806" t="s">
        <v>346</v>
      </c>
      <c r="E132" s="806"/>
      <c r="F132" s="806"/>
      <c r="G132" s="803" t="s">
        <v>330</v>
      </c>
      <c r="H132" s="801" t="s">
        <v>309</v>
      </c>
      <c r="I132" s="801"/>
      <c r="J132" s="803">
        <v>6</v>
      </c>
      <c r="K132" s="803">
        <v>16</v>
      </c>
      <c r="L132" s="801" t="s">
        <v>347</v>
      </c>
      <c r="M132" s="801"/>
      <c r="N132" s="801" t="s">
        <v>288</v>
      </c>
      <c r="O132" s="801"/>
      <c r="P132" s="495">
        <v>27</v>
      </c>
      <c r="Q132" s="547">
        <v>1.2195121951219513E-2</v>
      </c>
      <c r="R132" s="801">
        <v>1</v>
      </c>
    </row>
    <row r="133" spans="2:18" ht="31.5" customHeight="1" thickBot="1" x14ac:dyDescent="0.3">
      <c r="B133" s="802"/>
      <c r="C133" s="802"/>
      <c r="D133" s="805"/>
      <c r="E133" s="805"/>
      <c r="F133" s="805"/>
      <c r="G133" s="804"/>
      <c r="H133" s="802"/>
      <c r="I133" s="802"/>
      <c r="J133" s="804"/>
      <c r="K133" s="804"/>
      <c r="L133" s="802" t="s">
        <v>348</v>
      </c>
      <c r="M133" s="802"/>
      <c r="N133" s="802" t="s">
        <v>323</v>
      </c>
      <c r="O133" s="802"/>
      <c r="P133" s="549">
        <v>27</v>
      </c>
      <c r="Q133" s="550">
        <v>1.2195121951219513E-2</v>
      </c>
      <c r="R133" s="802"/>
    </row>
    <row r="134" spans="2:18" ht="43.5" customHeight="1" thickBot="1" x14ac:dyDescent="0.3">
      <c r="B134" s="802">
        <v>37214120</v>
      </c>
      <c r="C134" s="802"/>
      <c r="D134" s="805" t="s">
        <v>349</v>
      </c>
      <c r="E134" s="805"/>
      <c r="F134" s="805"/>
      <c r="G134" s="548" t="s">
        <v>330</v>
      </c>
      <c r="H134" s="802" t="s">
        <v>309</v>
      </c>
      <c r="I134" s="802"/>
      <c r="J134" s="548">
        <v>6</v>
      </c>
      <c r="K134" s="548">
        <v>15</v>
      </c>
      <c r="L134" s="802" t="s">
        <v>316</v>
      </c>
      <c r="M134" s="802"/>
      <c r="N134" s="802" t="s">
        <v>305</v>
      </c>
      <c r="O134" s="802"/>
      <c r="P134" s="549">
        <v>126</v>
      </c>
      <c r="Q134" s="550">
        <v>5.6910569105691054E-2</v>
      </c>
      <c r="R134" s="549">
        <v>1</v>
      </c>
    </row>
    <row r="135" spans="2:18" ht="42.75" customHeight="1" thickBot="1" x14ac:dyDescent="0.3">
      <c r="B135" s="804">
        <v>37214121</v>
      </c>
      <c r="C135" s="804"/>
      <c r="D135" s="805" t="s">
        <v>350</v>
      </c>
      <c r="E135" s="805"/>
      <c r="F135" s="805"/>
      <c r="G135" s="548" t="s">
        <v>313</v>
      </c>
      <c r="H135" s="802" t="s">
        <v>309</v>
      </c>
      <c r="I135" s="802"/>
      <c r="J135" s="548">
        <v>6</v>
      </c>
      <c r="K135" s="548">
        <v>12</v>
      </c>
      <c r="L135" s="802" t="s">
        <v>351</v>
      </c>
      <c r="M135" s="802"/>
      <c r="N135" s="802" t="s">
        <v>293</v>
      </c>
      <c r="O135" s="802"/>
      <c r="P135" s="549">
        <v>54</v>
      </c>
      <c r="Q135" s="550">
        <v>2.4390243902439025E-2</v>
      </c>
      <c r="R135" s="549">
        <v>1</v>
      </c>
    </row>
    <row r="136" spans="2:18" ht="31.5" customHeight="1" x14ac:dyDescent="0.25">
      <c r="B136" s="803">
        <v>37214201</v>
      </c>
      <c r="C136" s="803"/>
      <c r="D136" s="806" t="s">
        <v>352</v>
      </c>
      <c r="E136" s="806"/>
      <c r="F136" s="806"/>
      <c r="G136" s="803" t="s">
        <v>330</v>
      </c>
      <c r="H136" s="801" t="s">
        <v>353</v>
      </c>
      <c r="I136" s="801"/>
      <c r="J136" s="803">
        <v>6</v>
      </c>
      <c r="K136" s="803">
        <v>15</v>
      </c>
      <c r="L136" s="801" t="s">
        <v>354</v>
      </c>
      <c r="M136" s="801"/>
      <c r="N136" s="801" t="s">
        <v>336</v>
      </c>
      <c r="O136" s="801"/>
      <c r="P136" s="495">
        <v>72</v>
      </c>
      <c r="Q136" s="547">
        <v>3.2520325203252036E-2</v>
      </c>
      <c r="R136" s="801">
        <v>1</v>
      </c>
    </row>
    <row r="137" spans="2:18" ht="21" customHeight="1" thickBot="1" x14ac:dyDescent="0.3">
      <c r="B137" s="804"/>
      <c r="C137" s="804"/>
      <c r="D137" s="805"/>
      <c r="E137" s="805"/>
      <c r="F137" s="805"/>
      <c r="G137" s="804"/>
      <c r="H137" s="802"/>
      <c r="I137" s="802"/>
      <c r="J137" s="804"/>
      <c r="K137" s="804"/>
      <c r="L137" s="802" t="s">
        <v>298</v>
      </c>
      <c r="M137" s="802"/>
      <c r="N137" s="802" t="s">
        <v>299</v>
      </c>
      <c r="O137" s="802"/>
      <c r="P137" s="549">
        <v>225</v>
      </c>
      <c r="Q137" s="550">
        <v>0.1016260162601626</v>
      </c>
      <c r="R137" s="802"/>
    </row>
    <row r="138" spans="2:18" ht="45.75" customHeight="1" thickBot="1" x14ac:dyDescent="0.3">
      <c r="B138" s="802">
        <v>37214202</v>
      </c>
      <c r="C138" s="802"/>
      <c r="D138" s="805" t="s">
        <v>355</v>
      </c>
      <c r="E138" s="805"/>
      <c r="F138" s="805"/>
      <c r="G138" s="548" t="s">
        <v>330</v>
      </c>
      <c r="H138" s="802" t="s">
        <v>353</v>
      </c>
      <c r="I138" s="802"/>
      <c r="J138" s="548">
        <v>6</v>
      </c>
      <c r="K138" s="548">
        <v>9</v>
      </c>
      <c r="L138" s="802" t="s">
        <v>302</v>
      </c>
      <c r="M138" s="802"/>
      <c r="N138" s="746" t="s">
        <v>285</v>
      </c>
      <c r="O138" s="746"/>
      <c r="P138" s="549">
        <v>144</v>
      </c>
      <c r="Q138" s="550">
        <v>6.5040650406504072E-2</v>
      </c>
      <c r="R138" s="549">
        <v>1</v>
      </c>
    </row>
    <row r="139" spans="2:18" ht="41.25" customHeight="1" thickBot="1" x14ac:dyDescent="0.3">
      <c r="B139" s="802">
        <v>37214203</v>
      </c>
      <c r="C139" s="802"/>
      <c r="D139" s="805" t="s">
        <v>356</v>
      </c>
      <c r="E139" s="805"/>
      <c r="F139" s="805"/>
      <c r="G139" s="548" t="s">
        <v>330</v>
      </c>
      <c r="H139" s="802" t="s">
        <v>353</v>
      </c>
      <c r="I139" s="802"/>
      <c r="J139" s="548">
        <v>6</v>
      </c>
      <c r="K139" s="548">
        <v>12</v>
      </c>
      <c r="L139" s="802" t="s">
        <v>320</v>
      </c>
      <c r="M139" s="802"/>
      <c r="N139" s="802" t="s">
        <v>293</v>
      </c>
      <c r="O139" s="802"/>
      <c r="P139" s="549">
        <v>108</v>
      </c>
      <c r="Q139" s="550">
        <v>4.878048780487805E-2</v>
      </c>
      <c r="R139" s="549">
        <v>1</v>
      </c>
    </row>
    <row r="140" spans="2:18" ht="21" customHeight="1" x14ac:dyDescent="0.25">
      <c r="B140" s="801">
        <v>37214301</v>
      </c>
      <c r="C140" s="801"/>
      <c r="D140" s="806" t="s">
        <v>357</v>
      </c>
      <c r="E140" s="806"/>
      <c r="F140" s="806"/>
      <c r="G140" s="803" t="s">
        <v>330</v>
      </c>
      <c r="H140" s="801" t="s">
        <v>309</v>
      </c>
      <c r="I140" s="801"/>
      <c r="J140" s="803">
        <v>12</v>
      </c>
      <c r="K140" s="803">
        <v>20</v>
      </c>
      <c r="L140" s="801" t="s">
        <v>298</v>
      </c>
      <c r="M140" s="801"/>
      <c r="N140" s="801" t="s">
        <v>299</v>
      </c>
      <c r="O140" s="801"/>
      <c r="P140" s="495">
        <v>225</v>
      </c>
      <c r="Q140" s="547">
        <v>0.1016260162601626</v>
      </c>
      <c r="R140" s="801">
        <v>1</v>
      </c>
    </row>
    <row r="141" spans="2:18" ht="21" customHeight="1" x14ac:dyDescent="0.25">
      <c r="B141" s="801"/>
      <c r="C141" s="801"/>
      <c r="D141" s="806"/>
      <c r="E141" s="806"/>
      <c r="F141" s="806"/>
      <c r="G141" s="803"/>
      <c r="H141" s="801"/>
      <c r="I141" s="801"/>
      <c r="J141" s="803"/>
      <c r="K141" s="803"/>
      <c r="L141" s="801" t="s">
        <v>302</v>
      </c>
      <c r="M141" s="801"/>
      <c r="N141" s="741" t="s">
        <v>285</v>
      </c>
      <c r="O141" s="741"/>
      <c r="P141" s="495">
        <v>144</v>
      </c>
      <c r="Q141" s="547">
        <v>6.5040650406504072E-2</v>
      </c>
      <c r="R141" s="801"/>
    </row>
    <row r="142" spans="2:18" ht="27" customHeight="1" x14ac:dyDescent="0.25">
      <c r="B142" s="801"/>
      <c r="C142" s="801"/>
      <c r="D142" s="806"/>
      <c r="E142" s="806"/>
      <c r="F142" s="806"/>
      <c r="G142" s="803"/>
      <c r="H142" s="801"/>
      <c r="I142" s="801"/>
      <c r="J142" s="803"/>
      <c r="K142" s="803"/>
      <c r="L142" s="801" t="s">
        <v>334</v>
      </c>
      <c r="M142" s="801"/>
      <c r="N142" s="801" t="s">
        <v>288</v>
      </c>
      <c r="O142" s="801"/>
      <c r="P142" s="495">
        <v>18</v>
      </c>
      <c r="Q142" s="547">
        <v>8.130081300813009E-3</v>
      </c>
      <c r="R142" s="801"/>
    </row>
    <row r="143" spans="2:18" ht="18" customHeight="1" x14ac:dyDescent="0.25">
      <c r="B143" s="801"/>
      <c r="C143" s="801"/>
      <c r="D143" s="806"/>
      <c r="E143" s="806"/>
      <c r="F143" s="806"/>
      <c r="G143" s="803"/>
      <c r="H143" s="801"/>
      <c r="I143" s="801"/>
      <c r="J143" s="803"/>
      <c r="K143" s="803"/>
      <c r="L143" s="801" t="s">
        <v>284</v>
      </c>
      <c r="M143" s="801"/>
      <c r="N143" s="801" t="s">
        <v>285</v>
      </c>
      <c r="O143" s="801"/>
      <c r="P143" s="495">
        <v>243</v>
      </c>
      <c r="Q143" s="547">
        <v>0.10975609756097561</v>
      </c>
      <c r="R143" s="801"/>
    </row>
    <row r="144" spans="2:18" ht="21" customHeight="1" x14ac:dyDescent="0.25">
      <c r="B144" s="801"/>
      <c r="C144" s="801"/>
      <c r="D144" s="806"/>
      <c r="E144" s="806"/>
      <c r="F144" s="806"/>
      <c r="G144" s="803"/>
      <c r="H144" s="801"/>
      <c r="I144" s="801"/>
      <c r="J144" s="803"/>
      <c r="K144" s="803"/>
      <c r="L144" s="801" t="s">
        <v>327</v>
      </c>
      <c r="M144" s="801"/>
      <c r="N144" s="741" t="s">
        <v>285</v>
      </c>
      <c r="O144" s="741"/>
      <c r="P144" s="495">
        <v>234</v>
      </c>
      <c r="Q144" s="547">
        <v>0.10569105691056911</v>
      </c>
      <c r="R144" s="801"/>
    </row>
    <row r="145" spans="2:28" ht="25.5" customHeight="1" x14ac:dyDescent="0.25">
      <c r="B145" s="801"/>
      <c r="C145" s="801"/>
      <c r="D145" s="806"/>
      <c r="E145" s="806"/>
      <c r="F145" s="806"/>
      <c r="G145" s="803"/>
      <c r="H145" s="801"/>
      <c r="I145" s="801"/>
      <c r="J145" s="803"/>
      <c r="K145" s="803"/>
      <c r="L145" s="801" t="s">
        <v>335</v>
      </c>
      <c r="M145" s="801"/>
      <c r="N145" s="801" t="s">
        <v>336</v>
      </c>
      <c r="O145" s="801"/>
      <c r="P145" s="495">
        <v>36</v>
      </c>
      <c r="Q145" s="547">
        <v>1.6260162601626018E-2</v>
      </c>
      <c r="R145" s="801"/>
    </row>
    <row r="146" spans="2:28" ht="18" customHeight="1" x14ac:dyDescent="0.25">
      <c r="B146" s="801"/>
      <c r="C146" s="801"/>
      <c r="D146" s="806"/>
      <c r="E146" s="806"/>
      <c r="F146" s="806"/>
      <c r="G146" s="803"/>
      <c r="H146" s="801"/>
      <c r="I146" s="801"/>
      <c r="J146" s="803"/>
      <c r="K146" s="803"/>
      <c r="L146" s="801" t="s">
        <v>304</v>
      </c>
      <c r="M146" s="801"/>
      <c r="N146" s="801" t="s">
        <v>305</v>
      </c>
      <c r="O146" s="801"/>
      <c r="P146" s="495">
        <v>216</v>
      </c>
      <c r="Q146" s="547">
        <v>9.7560975609756101E-2</v>
      </c>
      <c r="R146" s="801"/>
    </row>
    <row r="147" spans="2:28" ht="24" customHeight="1" x14ac:dyDescent="0.25">
      <c r="B147" s="801"/>
      <c r="C147" s="801"/>
      <c r="D147" s="806"/>
      <c r="E147" s="806"/>
      <c r="F147" s="806"/>
      <c r="G147" s="803"/>
      <c r="H147" s="801"/>
      <c r="I147" s="801"/>
      <c r="J147" s="803"/>
      <c r="K147" s="803"/>
      <c r="L147" s="801" t="s">
        <v>307</v>
      </c>
      <c r="M147" s="801"/>
      <c r="N147" s="801" t="s">
        <v>293</v>
      </c>
      <c r="O147" s="801"/>
      <c r="P147" s="495">
        <v>72</v>
      </c>
      <c r="Q147" s="547">
        <v>3.2520325203252036E-2</v>
      </c>
      <c r="R147" s="801"/>
    </row>
    <row r="148" spans="2:28" ht="21" customHeight="1" thickBot="1" x14ac:dyDescent="0.3">
      <c r="B148" s="802"/>
      <c r="C148" s="802"/>
      <c r="D148" s="805"/>
      <c r="E148" s="805"/>
      <c r="F148" s="805"/>
      <c r="G148" s="804"/>
      <c r="H148" s="802"/>
      <c r="I148" s="802"/>
      <c r="J148" s="804"/>
      <c r="K148" s="804"/>
      <c r="L148" s="802" t="s">
        <v>316</v>
      </c>
      <c r="M148" s="802"/>
      <c r="N148" s="802" t="s">
        <v>305</v>
      </c>
      <c r="O148" s="802"/>
      <c r="P148" s="549">
        <v>126</v>
      </c>
      <c r="Q148" s="550">
        <v>5.6910569105691054E-2</v>
      </c>
      <c r="R148" s="802"/>
    </row>
    <row r="149" spans="2:28" ht="21" customHeight="1" x14ac:dyDescent="0.25">
      <c r="B149" s="813">
        <v>37214401</v>
      </c>
      <c r="C149" s="813"/>
      <c r="D149" s="815" t="s">
        <v>358</v>
      </c>
      <c r="E149" s="815"/>
      <c r="F149" s="815"/>
      <c r="G149" s="811" t="s">
        <v>330</v>
      </c>
      <c r="H149" s="813" t="s">
        <v>309</v>
      </c>
      <c r="I149" s="813"/>
      <c r="J149" s="811">
        <v>12</v>
      </c>
      <c r="K149" s="811">
        <v>14</v>
      </c>
      <c r="L149" s="813" t="s">
        <v>298</v>
      </c>
      <c r="M149" s="813"/>
      <c r="N149" s="813" t="s">
        <v>299</v>
      </c>
      <c r="O149" s="813"/>
      <c r="P149" s="551">
        <v>225</v>
      </c>
      <c r="Q149" s="552">
        <v>0.1016260162601626</v>
      </c>
      <c r="R149" s="813">
        <v>1</v>
      </c>
    </row>
    <row r="150" spans="2:28" ht="21" customHeight="1" x14ac:dyDescent="0.25">
      <c r="B150" s="801"/>
      <c r="C150" s="801"/>
      <c r="D150" s="806"/>
      <c r="E150" s="806"/>
      <c r="F150" s="806"/>
      <c r="G150" s="803"/>
      <c r="H150" s="801"/>
      <c r="I150" s="801"/>
      <c r="J150" s="803"/>
      <c r="K150" s="803"/>
      <c r="L150" s="801" t="s">
        <v>302</v>
      </c>
      <c r="M150" s="801"/>
      <c r="N150" s="741" t="s">
        <v>285</v>
      </c>
      <c r="O150" s="741"/>
      <c r="P150" s="495">
        <v>144</v>
      </c>
      <c r="Q150" s="547">
        <v>6.5040650406504072E-2</v>
      </c>
      <c r="R150" s="801"/>
    </row>
    <row r="151" spans="2:28" ht="27" customHeight="1" x14ac:dyDescent="0.25">
      <c r="B151" s="801"/>
      <c r="C151" s="801"/>
      <c r="D151" s="806"/>
      <c r="E151" s="806"/>
      <c r="F151" s="806"/>
      <c r="G151" s="803"/>
      <c r="H151" s="801"/>
      <c r="I151" s="801"/>
      <c r="J151" s="803"/>
      <c r="K151" s="803"/>
      <c r="L151" s="801" t="s">
        <v>354</v>
      </c>
      <c r="M151" s="801"/>
      <c r="N151" s="801" t="s">
        <v>336</v>
      </c>
      <c r="O151" s="801"/>
      <c r="P151" s="495">
        <v>72</v>
      </c>
      <c r="Q151" s="547">
        <v>3.2520325203252036E-2</v>
      </c>
      <c r="R151" s="801"/>
    </row>
    <row r="152" spans="2:28" ht="20.25" customHeight="1" x14ac:dyDescent="0.25">
      <c r="B152" s="801"/>
      <c r="C152" s="801"/>
      <c r="D152" s="806"/>
      <c r="E152" s="806"/>
      <c r="F152" s="806"/>
      <c r="G152" s="803"/>
      <c r="H152" s="801"/>
      <c r="I152" s="801"/>
      <c r="J152" s="803"/>
      <c r="K152" s="803"/>
      <c r="L152" s="801" t="s">
        <v>284</v>
      </c>
      <c r="M152" s="801"/>
      <c r="N152" s="801" t="s">
        <v>285</v>
      </c>
      <c r="O152" s="801"/>
      <c r="P152" s="495">
        <v>243</v>
      </c>
      <c r="Q152" s="547">
        <v>0.10975609756097561</v>
      </c>
      <c r="R152" s="801"/>
    </row>
    <row r="153" spans="2:28" ht="21" customHeight="1" x14ac:dyDescent="0.25">
      <c r="B153" s="801"/>
      <c r="C153" s="801"/>
      <c r="D153" s="806"/>
      <c r="E153" s="806"/>
      <c r="F153" s="806"/>
      <c r="G153" s="803"/>
      <c r="H153" s="801"/>
      <c r="I153" s="801"/>
      <c r="J153" s="803"/>
      <c r="K153" s="803"/>
      <c r="L153" s="801" t="s">
        <v>327</v>
      </c>
      <c r="M153" s="801"/>
      <c r="N153" s="741" t="s">
        <v>285</v>
      </c>
      <c r="O153" s="741"/>
      <c r="P153" s="495">
        <v>234</v>
      </c>
      <c r="Q153" s="547">
        <v>0.10569105691056911</v>
      </c>
      <c r="R153" s="801"/>
    </row>
    <row r="154" spans="2:28" ht="27" customHeight="1" x14ac:dyDescent="0.25">
      <c r="B154" s="801"/>
      <c r="C154" s="801"/>
      <c r="D154" s="806"/>
      <c r="E154" s="806"/>
      <c r="F154" s="806"/>
      <c r="G154" s="803"/>
      <c r="H154" s="801"/>
      <c r="I154" s="801"/>
      <c r="J154" s="803"/>
      <c r="K154" s="803"/>
      <c r="L154" s="801" t="s">
        <v>359</v>
      </c>
      <c r="M154" s="801"/>
      <c r="N154" s="801" t="s">
        <v>293</v>
      </c>
      <c r="O154" s="801"/>
      <c r="P154" s="495">
        <v>72</v>
      </c>
      <c r="Q154" s="547">
        <v>3.2520325203252036E-2</v>
      </c>
      <c r="R154" s="801"/>
    </row>
    <row r="155" spans="2:28" ht="21" customHeight="1" x14ac:dyDescent="0.25">
      <c r="B155" s="801"/>
      <c r="C155" s="801"/>
      <c r="D155" s="806"/>
      <c r="E155" s="806"/>
      <c r="F155" s="806"/>
      <c r="G155" s="803"/>
      <c r="H155" s="801"/>
      <c r="I155" s="801"/>
      <c r="J155" s="803"/>
      <c r="K155" s="803"/>
      <c r="L155" s="801" t="s">
        <v>304</v>
      </c>
      <c r="M155" s="801"/>
      <c r="N155" s="801" t="s">
        <v>305</v>
      </c>
      <c r="O155" s="801"/>
      <c r="P155" s="495">
        <v>216</v>
      </c>
      <c r="Q155" s="547">
        <v>9.7560975609756101E-2</v>
      </c>
      <c r="R155" s="801"/>
    </row>
    <row r="156" spans="2:28" ht="25.5" customHeight="1" x14ac:dyDescent="0.25">
      <c r="B156" s="801"/>
      <c r="C156" s="801"/>
      <c r="D156" s="806"/>
      <c r="E156" s="806"/>
      <c r="F156" s="806"/>
      <c r="G156" s="803"/>
      <c r="H156" s="801"/>
      <c r="I156" s="801"/>
      <c r="J156" s="803"/>
      <c r="K156" s="803"/>
      <c r="L156" s="801" t="s">
        <v>307</v>
      </c>
      <c r="M156" s="801"/>
      <c r="N156" s="801" t="s">
        <v>293</v>
      </c>
      <c r="O156" s="801"/>
      <c r="P156" s="495">
        <v>72</v>
      </c>
      <c r="Q156" s="547">
        <v>3.2520325203252036E-2</v>
      </c>
      <c r="R156" s="801"/>
    </row>
    <row r="157" spans="2:28" ht="21.75" customHeight="1" thickBot="1" x14ac:dyDescent="0.3">
      <c r="B157" s="814"/>
      <c r="C157" s="814"/>
      <c r="D157" s="816"/>
      <c r="E157" s="816"/>
      <c r="F157" s="816"/>
      <c r="G157" s="812"/>
      <c r="H157" s="814"/>
      <c r="I157" s="814"/>
      <c r="J157" s="812"/>
      <c r="K157" s="812"/>
      <c r="L157" s="814" t="s">
        <v>316</v>
      </c>
      <c r="M157" s="814"/>
      <c r="N157" s="814" t="s">
        <v>305</v>
      </c>
      <c r="O157" s="814"/>
      <c r="P157" s="553">
        <v>126</v>
      </c>
      <c r="Q157" s="554">
        <v>5.6910569105691054E-2</v>
      </c>
      <c r="R157" s="814"/>
    </row>
    <row r="158" spans="2:28" x14ac:dyDescent="0.25">
      <c r="B158" s="378"/>
      <c r="C158" s="379"/>
      <c r="D158" s="379"/>
      <c r="E158" s="378"/>
      <c r="F158" s="379"/>
      <c r="G158" s="380">
        <f>SUM(K95:K157)-[1]Càlculs!S41</f>
        <v>0</v>
      </c>
      <c r="H158" s="381"/>
      <c r="I158" s="382"/>
      <c r="J158" s="383">
        <f>SUMPRODUCT(IF(FREQUENCY(MATCH(L95:L156,L95:L156,0),MATCH(L95:L156,L95:L156,0))&gt;0,P95:P156))</f>
        <v>2286</v>
      </c>
      <c r="K158" s="384"/>
      <c r="L158" s="37"/>
      <c r="AB158" s="48"/>
    </row>
    <row r="159" spans="2:28" ht="15.75" customHeight="1" x14ac:dyDescent="0.25">
      <c r="B159" s="860" t="s">
        <v>13</v>
      </c>
      <c r="C159" s="860"/>
      <c r="D159" s="860"/>
      <c r="E159" s="860"/>
      <c r="F159" s="860"/>
      <c r="G159" s="860"/>
      <c r="H159" s="860"/>
      <c r="I159" s="860"/>
      <c r="J159" s="860"/>
      <c r="K159" s="860"/>
      <c r="L159" s="860"/>
      <c r="M159" s="860"/>
      <c r="N159" s="860"/>
      <c r="O159" s="860"/>
      <c r="P159" s="860"/>
      <c r="Q159" s="860"/>
      <c r="R159" s="860"/>
    </row>
    <row r="160" spans="2:28" ht="21" x14ac:dyDescent="0.25">
      <c r="B160" s="667" t="s">
        <v>271</v>
      </c>
      <c r="C160" s="667"/>
      <c r="D160" s="667" t="s">
        <v>272</v>
      </c>
      <c r="E160" s="667"/>
      <c r="F160" s="667"/>
      <c r="G160" s="484" t="s">
        <v>273</v>
      </c>
      <c r="H160" s="667" t="s">
        <v>274</v>
      </c>
      <c r="I160" s="667"/>
      <c r="J160" s="484" t="s">
        <v>275</v>
      </c>
      <c r="K160" s="484" t="s">
        <v>276</v>
      </c>
      <c r="L160" s="667" t="s">
        <v>277</v>
      </c>
      <c r="M160" s="667"/>
      <c r="N160" s="667" t="s">
        <v>247</v>
      </c>
      <c r="O160" s="667"/>
      <c r="P160" s="484" t="s">
        <v>278</v>
      </c>
      <c r="Q160" s="484" t="s">
        <v>279</v>
      </c>
      <c r="R160" s="484" t="s">
        <v>280</v>
      </c>
    </row>
    <row r="161" spans="2:18" ht="21" customHeight="1" x14ac:dyDescent="0.25">
      <c r="B161" s="808">
        <v>37204004</v>
      </c>
      <c r="C161" s="808"/>
      <c r="D161" s="863" t="s">
        <v>387</v>
      </c>
      <c r="E161" s="863"/>
      <c r="F161" s="863"/>
      <c r="G161" s="808" t="s">
        <v>282</v>
      </c>
      <c r="H161" s="862" t="s">
        <v>283</v>
      </c>
      <c r="I161" s="862"/>
      <c r="J161" s="808">
        <v>12</v>
      </c>
      <c r="K161" s="808">
        <f>VLOOKUP(B161:B164,[2]Hoja2!Q:R,2,FALSE)</f>
        <v>100</v>
      </c>
      <c r="L161" s="861" t="s">
        <v>388</v>
      </c>
      <c r="M161" s="861"/>
      <c r="N161" s="861" t="s">
        <v>285</v>
      </c>
      <c r="O161" s="861"/>
      <c r="P161" s="561">
        <v>324</v>
      </c>
      <c r="Q161" s="562">
        <v>0.13039999999999999</v>
      </c>
      <c r="R161" s="808">
        <v>1</v>
      </c>
    </row>
    <row r="162" spans="2:18" ht="30" customHeight="1" x14ac:dyDescent="0.25">
      <c r="B162" s="809"/>
      <c r="C162" s="809"/>
      <c r="D162" s="824"/>
      <c r="E162" s="824"/>
      <c r="F162" s="824"/>
      <c r="G162" s="809"/>
      <c r="H162" s="741"/>
      <c r="I162" s="741"/>
      <c r="J162" s="809"/>
      <c r="K162" s="809"/>
      <c r="L162" s="818" t="s">
        <v>389</v>
      </c>
      <c r="M162" s="818"/>
      <c r="N162" s="818" t="s">
        <v>288</v>
      </c>
      <c r="O162" s="818"/>
      <c r="P162" s="555">
        <v>81</v>
      </c>
      <c r="Q162" s="556">
        <v>3.2599999999999997E-2</v>
      </c>
      <c r="R162" s="809"/>
    </row>
    <row r="163" spans="2:18" ht="21" customHeight="1" x14ac:dyDescent="0.25">
      <c r="B163" s="809"/>
      <c r="C163" s="809"/>
      <c r="D163" s="824"/>
      <c r="E163" s="824"/>
      <c r="F163" s="824"/>
      <c r="G163" s="809"/>
      <c r="H163" s="741"/>
      <c r="I163" s="741"/>
      <c r="J163" s="809"/>
      <c r="K163" s="809"/>
      <c r="L163" s="818" t="s">
        <v>390</v>
      </c>
      <c r="M163" s="818"/>
      <c r="N163" s="818" t="s">
        <v>391</v>
      </c>
      <c r="O163" s="818"/>
      <c r="P163" s="555">
        <v>40.5</v>
      </c>
      <c r="Q163" s="556">
        <v>1.6299999999999999E-2</v>
      </c>
      <c r="R163" s="809"/>
    </row>
    <row r="164" spans="2:18" ht="27" customHeight="1" thickBot="1" x14ac:dyDescent="0.3">
      <c r="B164" s="810"/>
      <c r="C164" s="810"/>
      <c r="D164" s="825"/>
      <c r="E164" s="825"/>
      <c r="F164" s="825"/>
      <c r="G164" s="810"/>
      <c r="H164" s="746"/>
      <c r="I164" s="746"/>
      <c r="J164" s="810"/>
      <c r="K164" s="810"/>
      <c r="L164" s="817" t="s">
        <v>392</v>
      </c>
      <c r="M164" s="817"/>
      <c r="N164" s="817" t="s">
        <v>293</v>
      </c>
      <c r="O164" s="817"/>
      <c r="P164" s="563">
        <v>99</v>
      </c>
      <c r="Q164" s="564">
        <v>3.9899999999999998E-2</v>
      </c>
      <c r="R164" s="810"/>
    </row>
    <row r="165" spans="2:18" ht="21" customHeight="1" x14ac:dyDescent="0.25">
      <c r="B165" s="809">
        <v>37204005</v>
      </c>
      <c r="C165" s="809"/>
      <c r="D165" s="824" t="s">
        <v>393</v>
      </c>
      <c r="E165" s="824"/>
      <c r="F165" s="824"/>
      <c r="G165" s="809" t="s">
        <v>282</v>
      </c>
      <c r="H165" s="741" t="s">
        <v>283</v>
      </c>
      <c r="I165" s="741"/>
      <c r="J165" s="809">
        <v>6</v>
      </c>
      <c r="K165" s="809">
        <f>VLOOKUP(B165,[2]Hoja2!Q:R,2,FALSE)</f>
        <v>80</v>
      </c>
      <c r="L165" s="818" t="s">
        <v>388</v>
      </c>
      <c r="M165" s="818"/>
      <c r="N165" s="818" t="s">
        <v>285</v>
      </c>
      <c r="O165" s="818"/>
      <c r="P165" s="555">
        <v>324</v>
      </c>
      <c r="Q165" s="556">
        <v>0.13039999999999999</v>
      </c>
      <c r="R165" s="809">
        <v>1</v>
      </c>
    </row>
    <row r="166" spans="2:18" ht="31.5" customHeight="1" thickBot="1" x14ac:dyDescent="0.3">
      <c r="B166" s="810"/>
      <c r="C166" s="810"/>
      <c r="D166" s="825"/>
      <c r="E166" s="825"/>
      <c r="F166" s="825"/>
      <c r="G166" s="810"/>
      <c r="H166" s="746"/>
      <c r="I166" s="746"/>
      <c r="J166" s="810"/>
      <c r="K166" s="810"/>
      <c r="L166" s="817" t="s">
        <v>394</v>
      </c>
      <c r="M166" s="817"/>
      <c r="N166" s="817" t="s">
        <v>293</v>
      </c>
      <c r="O166" s="817"/>
      <c r="P166" s="563">
        <v>18</v>
      </c>
      <c r="Q166" s="564">
        <v>7.1999999999999998E-3</v>
      </c>
      <c r="R166" s="810"/>
    </row>
    <row r="167" spans="2:18" ht="24" customHeight="1" x14ac:dyDescent="0.25">
      <c r="B167" s="809">
        <v>37204001</v>
      </c>
      <c r="C167" s="809"/>
      <c r="D167" s="824" t="s">
        <v>395</v>
      </c>
      <c r="E167" s="824"/>
      <c r="F167" s="824"/>
      <c r="G167" s="809" t="s">
        <v>282</v>
      </c>
      <c r="H167" s="741" t="s">
        <v>283</v>
      </c>
      <c r="I167" s="741"/>
      <c r="J167" s="809">
        <v>6</v>
      </c>
      <c r="K167" s="809">
        <f>VLOOKUP(B167,[2]Hoja2!Q:R,2,FALSE)</f>
        <v>93</v>
      </c>
      <c r="L167" s="818" t="s">
        <v>287</v>
      </c>
      <c r="M167" s="818"/>
      <c r="N167" s="818" t="s">
        <v>288</v>
      </c>
      <c r="O167" s="818"/>
      <c r="P167" s="555">
        <v>72</v>
      </c>
      <c r="Q167" s="556">
        <v>2.9000000000000001E-2</v>
      </c>
      <c r="R167" s="809">
        <v>1</v>
      </c>
    </row>
    <row r="168" spans="2:18" ht="27.75" customHeight="1" thickBot="1" x14ac:dyDescent="0.3">
      <c r="B168" s="810"/>
      <c r="C168" s="810"/>
      <c r="D168" s="825"/>
      <c r="E168" s="825"/>
      <c r="F168" s="825"/>
      <c r="G168" s="810"/>
      <c r="H168" s="746"/>
      <c r="I168" s="746"/>
      <c r="J168" s="810"/>
      <c r="K168" s="810"/>
      <c r="L168" s="817" t="s">
        <v>396</v>
      </c>
      <c r="M168" s="817"/>
      <c r="N168" s="817" t="s">
        <v>293</v>
      </c>
      <c r="O168" s="817"/>
      <c r="P168" s="563">
        <v>18</v>
      </c>
      <c r="Q168" s="564">
        <v>7.1999999999999998E-3</v>
      </c>
      <c r="R168" s="810"/>
    </row>
    <row r="169" spans="2:18" ht="28.5" customHeight="1" thickBot="1" x14ac:dyDescent="0.3">
      <c r="B169" s="746">
        <v>37204003</v>
      </c>
      <c r="C169" s="746"/>
      <c r="D169" s="825" t="s">
        <v>397</v>
      </c>
      <c r="E169" s="825"/>
      <c r="F169" s="825"/>
      <c r="G169" s="565" t="s">
        <v>282</v>
      </c>
      <c r="H169" s="746" t="s">
        <v>283</v>
      </c>
      <c r="I169" s="746"/>
      <c r="J169" s="565">
        <v>6</v>
      </c>
      <c r="K169" s="565">
        <f>VLOOKUP(B169,[2]Hoja2!Q:R,2,FALSE)</f>
        <v>91</v>
      </c>
      <c r="L169" s="817" t="s">
        <v>398</v>
      </c>
      <c r="M169" s="817"/>
      <c r="N169" s="817" t="s">
        <v>336</v>
      </c>
      <c r="O169" s="817"/>
      <c r="P169" s="563">
        <v>54</v>
      </c>
      <c r="Q169" s="564">
        <v>2.1700000000000001E-2</v>
      </c>
      <c r="R169" s="565">
        <v>1</v>
      </c>
    </row>
    <row r="170" spans="2:18" ht="25.5" customHeight="1" x14ac:dyDescent="0.25">
      <c r="B170" s="809">
        <v>37204002</v>
      </c>
      <c r="C170" s="809"/>
      <c r="D170" s="824" t="s">
        <v>399</v>
      </c>
      <c r="E170" s="824"/>
      <c r="F170" s="824"/>
      <c r="G170" s="809" t="s">
        <v>282</v>
      </c>
      <c r="H170" s="741" t="s">
        <v>283</v>
      </c>
      <c r="I170" s="741"/>
      <c r="J170" s="809">
        <v>6</v>
      </c>
      <c r="K170" s="809">
        <f>VLOOKUP(B170,[2]Hoja2!Q:R,2,FALSE)</f>
        <v>62</v>
      </c>
      <c r="L170" s="818" t="s">
        <v>400</v>
      </c>
      <c r="M170" s="818"/>
      <c r="N170" s="818" t="s">
        <v>288</v>
      </c>
      <c r="O170" s="818"/>
      <c r="P170" s="555">
        <v>85.5</v>
      </c>
      <c r="Q170" s="556">
        <v>3.44E-2</v>
      </c>
      <c r="R170" s="809">
        <v>1</v>
      </c>
    </row>
    <row r="171" spans="2:18" ht="28.5" customHeight="1" thickBot="1" x14ac:dyDescent="0.3">
      <c r="B171" s="810"/>
      <c r="C171" s="810"/>
      <c r="D171" s="825"/>
      <c r="E171" s="825"/>
      <c r="F171" s="825"/>
      <c r="G171" s="810"/>
      <c r="H171" s="746"/>
      <c r="I171" s="746"/>
      <c r="J171" s="810"/>
      <c r="K171" s="810"/>
      <c r="L171" s="817" t="s">
        <v>334</v>
      </c>
      <c r="M171" s="817"/>
      <c r="N171" s="817" t="s">
        <v>288</v>
      </c>
      <c r="O171" s="817"/>
      <c r="P171" s="563">
        <v>103.5</v>
      </c>
      <c r="Q171" s="564">
        <v>4.1700000000000001E-2</v>
      </c>
      <c r="R171" s="810"/>
    </row>
    <row r="172" spans="2:18" ht="18.75" customHeight="1" x14ac:dyDescent="0.25">
      <c r="B172" s="809">
        <v>37204006</v>
      </c>
      <c r="C172" s="809"/>
      <c r="D172" s="824" t="s">
        <v>401</v>
      </c>
      <c r="E172" s="824"/>
      <c r="F172" s="824"/>
      <c r="G172" s="809" t="s">
        <v>282</v>
      </c>
      <c r="H172" s="741" t="s">
        <v>283</v>
      </c>
      <c r="I172" s="741"/>
      <c r="J172" s="809">
        <v>6</v>
      </c>
      <c r="K172" s="809">
        <f>VLOOKUP(B172,[2]Hoja2!Q:R,2,FALSE)</f>
        <v>70</v>
      </c>
      <c r="L172" s="818" t="s">
        <v>388</v>
      </c>
      <c r="M172" s="818"/>
      <c r="N172" s="818" t="s">
        <v>285</v>
      </c>
      <c r="O172" s="818"/>
      <c r="P172" s="555">
        <v>324</v>
      </c>
      <c r="Q172" s="556">
        <v>0.13039999999999999</v>
      </c>
      <c r="R172" s="809">
        <v>1</v>
      </c>
    </row>
    <row r="173" spans="2:18" ht="24" customHeight="1" thickBot="1" x14ac:dyDescent="0.3">
      <c r="B173" s="810"/>
      <c r="C173" s="810"/>
      <c r="D173" s="825"/>
      <c r="E173" s="825"/>
      <c r="F173" s="825"/>
      <c r="G173" s="810"/>
      <c r="H173" s="746"/>
      <c r="I173" s="746"/>
      <c r="J173" s="810"/>
      <c r="K173" s="810"/>
      <c r="L173" s="817" t="s">
        <v>402</v>
      </c>
      <c r="M173" s="817"/>
      <c r="N173" s="817" t="s">
        <v>293</v>
      </c>
      <c r="O173" s="817"/>
      <c r="P173" s="563">
        <v>9</v>
      </c>
      <c r="Q173" s="564">
        <v>3.5999999999999999E-3</v>
      </c>
      <c r="R173" s="810"/>
    </row>
    <row r="174" spans="2:18" ht="21" customHeight="1" x14ac:dyDescent="0.25">
      <c r="B174" s="809">
        <v>37204112</v>
      </c>
      <c r="C174" s="809"/>
      <c r="D174" s="824" t="s">
        <v>403</v>
      </c>
      <c r="E174" s="824"/>
      <c r="F174" s="824"/>
      <c r="G174" s="809" t="s">
        <v>282</v>
      </c>
      <c r="H174" s="741" t="s">
        <v>309</v>
      </c>
      <c r="I174" s="741"/>
      <c r="J174" s="809">
        <v>3</v>
      </c>
      <c r="K174" s="809">
        <f>VLOOKUP(B174,[2]Hoja2!Q:R,2,FALSE)</f>
        <v>67</v>
      </c>
      <c r="L174" s="818" t="s">
        <v>404</v>
      </c>
      <c r="M174" s="818"/>
      <c r="N174" s="818" t="s">
        <v>391</v>
      </c>
      <c r="O174" s="818"/>
      <c r="P174" s="555">
        <v>13.5</v>
      </c>
      <c r="Q174" s="556">
        <v>5.4000000000000003E-3</v>
      </c>
      <c r="R174" s="809">
        <v>1</v>
      </c>
    </row>
    <row r="175" spans="2:18" ht="22.5" customHeight="1" thickBot="1" x14ac:dyDescent="0.3">
      <c r="B175" s="810"/>
      <c r="C175" s="810"/>
      <c r="D175" s="825"/>
      <c r="E175" s="825"/>
      <c r="F175" s="825"/>
      <c r="G175" s="810"/>
      <c r="H175" s="746"/>
      <c r="I175" s="746"/>
      <c r="J175" s="810"/>
      <c r="K175" s="810"/>
      <c r="L175" s="817" t="s">
        <v>390</v>
      </c>
      <c r="M175" s="817"/>
      <c r="N175" s="817" t="s">
        <v>391</v>
      </c>
      <c r="O175" s="817"/>
      <c r="P175" s="563">
        <v>40.5</v>
      </c>
      <c r="Q175" s="564">
        <v>1.6299999999999999E-2</v>
      </c>
      <c r="R175" s="810"/>
    </row>
    <row r="176" spans="2:18" ht="21" customHeight="1" x14ac:dyDescent="0.25">
      <c r="B176" s="809">
        <v>37204122</v>
      </c>
      <c r="C176" s="809"/>
      <c r="D176" s="824" t="s">
        <v>405</v>
      </c>
      <c r="E176" s="824"/>
      <c r="F176" s="824"/>
      <c r="G176" s="809" t="s">
        <v>282</v>
      </c>
      <c r="H176" s="741" t="s">
        <v>309</v>
      </c>
      <c r="I176" s="741"/>
      <c r="J176" s="809">
        <v>6</v>
      </c>
      <c r="K176" s="809">
        <f>VLOOKUP(B176,[2]Hoja2!Q:R,2,FALSE)</f>
        <v>61</v>
      </c>
      <c r="L176" s="818" t="s">
        <v>406</v>
      </c>
      <c r="M176" s="818"/>
      <c r="N176" s="818" t="s">
        <v>391</v>
      </c>
      <c r="O176" s="818"/>
      <c r="P176" s="555">
        <v>162</v>
      </c>
      <c r="Q176" s="556">
        <v>6.5199999999999994E-2</v>
      </c>
      <c r="R176" s="809">
        <v>1</v>
      </c>
    </row>
    <row r="177" spans="1:18" ht="24.75" customHeight="1" thickBot="1" x14ac:dyDescent="0.3">
      <c r="B177" s="810"/>
      <c r="C177" s="810"/>
      <c r="D177" s="825"/>
      <c r="E177" s="825"/>
      <c r="F177" s="825"/>
      <c r="G177" s="810"/>
      <c r="H177" s="746"/>
      <c r="I177" s="746"/>
      <c r="J177" s="810"/>
      <c r="K177" s="810"/>
      <c r="L177" s="817" t="s">
        <v>407</v>
      </c>
      <c r="M177" s="817"/>
      <c r="N177" s="817" t="s">
        <v>293</v>
      </c>
      <c r="O177" s="817"/>
      <c r="P177" s="563">
        <v>90</v>
      </c>
      <c r="Q177" s="564">
        <v>3.6200000000000003E-2</v>
      </c>
      <c r="R177" s="810"/>
    </row>
    <row r="178" spans="1:18" ht="21.75" customHeight="1" x14ac:dyDescent="0.25">
      <c r="B178" s="741">
        <v>37204123</v>
      </c>
      <c r="C178" s="741"/>
      <c r="D178" s="824" t="s">
        <v>408</v>
      </c>
      <c r="E178" s="824"/>
      <c r="F178" s="824"/>
      <c r="G178" s="809" t="s">
        <v>282</v>
      </c>
      <c r="H178" s="741" t="s">
        <v>309</v>
      </c>
      <c r="I178" s="741"/>
      <c r="J178" s="809">
        <v>6</v>
      </c>
      <c r="K178" s="809">
        <f>VLOOKUP(B178,[2]Hoja2!Q:R,2,FALSE)</f>
        <v>64</v>
      </c>
      <c r="L178" s="818" t="s">
        <v>406</v>
      </c>
      <c r="M178" s="818"/>
      <c r="N178" s="818" t="s">
        <v>409</v>
      </c>
      <c r="O178" s="818"/>
      <c r="P178" s="555">
        <v>162</v>
      </c>
      <c r="Q178" s="556">
        <v>6.5199999999999994E-2</v>
      </c>
      <c r="R178" s="809">
        <v>1</v>
      </c>
    </row>
    <row r="179" spans="1:18" ht="27" customHeight="1" thickBot="1" x14ac:dyDescent="0.3">
      <c r="B179" s="746"/>
      <c r="C179" s="746"/>
      <c r="D179" s="825"/>
      <c r="E179" s="825"/>
      <c r="F179" s="825"/>
      <c r="G179" s="810"/>
      <c r="H179" s="746"/>
      <c r="I179" s="746"/>
      <c r="J179" s="810"/>
      <c r="K179" s="810"/>
      <c r="L179" s="817" t="s">
        <v>407</v>
      </c>
      <c r="M179" s="817"/>
      <c r="N179" s="817" t="s">
        <v>293</v>
      </c>
      <c r="O179" s="817"/>
      <c r="P179" s="563">
        <v>90</v>
      </c>
      <c r="Q179" s="564">
        <v>3.6200000000000003E-2</v>
      </c>
      <c r="R179" s="810"/>
    </row>
    <row r="180" spans="1:18" ht="28.5" customHeight="1" thickBot="1" x14ac:dyDescent="0.3">
      <c r="B180" s="746">
        <v>37204132</v>
      </c>
      <c r="C180" s="746"/>
      <c r="D180" s="825" t="s">
        <v>410</v>
      </c>
      <c r="E180" s="825"/>
      <c r="F180" s="825"/>
      <c r="G180" s="565" t="s">
        <v>282</v>
      </c>
      <c r="H180" s="746" t="s">
        <v>309</v>
      </c>
      <c r="I180" s="746"/>
      <c r="J180" s="565">
        <v>3</v>
      </c>
      <c r="K180" s="565">
        <f>VLOOKUP(B180,[2]Hoja2!Q:R,2,FALSE)</f>
        <v>63</v>
      </c>
      <c r="L180" s="817" t="s">
        <v>411</v>
      </c>
      <c r="M180" s="817"/>
      <c r="N180" s="817" t="s">
        <v>293</v>
      </c>
      <c r="O180" s="817"/>
      <c r="P180" s="563">
        <v>121.5</v>
      </c>
      <c r="Q180" s="564">
        <v>4.8899999999999999E-2</v>
      </c>
      <c r="R180" s="565">
        <v>1</v>
      </c>
    </row>
    <row r="181" spans="1:18" ht="30" customHeight="1" thickBot="1" x14ac:dyDescent="0.3">
      <c r="B181" s="746">
        <v>37204008</v>
      </c>
      <c r="C181" s="746"/>
      <c r="D181" s="825" t="s">
        <v>412</v>
      </c>
      <c r="E181" s="825"/>
      <c r="F181" s="825"/>
      <c r="G181" s="565" t="s">
        <v>290</v>
      </c>
      <c r="H181" s="746" t="s">
        <v>283</v>
      </c>
      <c r="I181" s="746"/>
      <c r="J181" s="565">
        <v>6</v>
      </c>
      <c r="K181" s="565">
        <f>VLOOKUP(B181,[2]Hoja2!Q:R,2,FALSE)</f>
        <v>47</v>
      </c>
      <c r="L181" s="817" t="s">
        <v>413</v>
      </c>
      <c r="M181" s="817"/>
      <c r="N181" s="817" t="s">
        <v>288</v>
      </c>
      <c r="O181" s="817"/>
      <c r="P181" s="563">
        <v>108</v>
      </c>
      <c r="Q181" s="564">
        <v>4.3499999999999997E-2</v>
      </c>
      <c r="R181" s="565">
        <v>1</v>
      </c>
    </row>
    <row r="182" spans="1:18" ht="24.75" customHeight="1" x14ac:dyDescent="0.25">
      <c r="B182" s="741">
        <v>37204102</v>
      </c>
      <c r="C182" s="741"/>
      <c r="D182" s="824" t="s">
        <v>414</v>
      </c>
      <c r="E182" s="824"/>
      <c r="F182" s="824"/>
      <c r="G182" s="809" t="s">
        <v>290</v>
      </c>
      <c r="H182" s="741" t="s">
        <v>309</v>
      </c>
      <c r="I182" s="741"/>
      <c r="J182" s="809">
        <v>6</v>
      </c>
      <c r="K182" s="809">
        <f>VLOOKUP(B182,[2]Hoja2!Q:R,2,FALSE)</f>
        <v>64</v>
      </c>
      <c r="L182" s="818" t="s">
        <v>400</v>
      </c>
      <c r="M182" s="818"/>
      <c r="N182" s="818" t="s">
        <v>288</v>
      </c>
      <c r="O182" s="818"/>
      <c r="P182" s="555">
        <v>85.5</v>
      </c>
      <c r="Q182" s="556">
        <v>3.44E-2</v>
      </c>
      <c r="R182" s="809">
        <v>1</v>
      </c>
    </row>
    <row r="183" spans="1:18" ht="28.5" customHeight="1" thickBot="1" x14ac:dyDescent="0.3">
      <c r="B183" s="746"/>
      <c r="C183" s="746"/>
      <c r="D183" s="825"/>
      <c r="E183" s="825"/>
      <c r="F183" s="825"/>
      <c r="G183" s="810"/>
      <c r="H183" s="746"/>
      <c r="I183" s="746"/>
      <c r="J183" s="810"/>
      <c r="K183" s="810"/>
      <c r="L183" s="817" t="s">
        <v>334</v>
      </c>
      <c r="M183" s="817"/>
      <c r="N183" s="817" t="s">
        <v>288</v>
      </c>
      <c r="O183" s="817"/>
      <c r="P183" s="563">
        <v>103.5</v>
      </c>
      <c r="Q183" s="564">
        <v>4.1700000000000001E-2</v>
      </c>
      <c r="R183" s="810"/>
    </row>
    <row r="184" spans="1:18" ht="27.75" customHeight="1" thickBot="1" x14ac:dyDescent="0.3">
      <c r="B184" s="746">
        <v>37204103</v>
      </c>
      <c r="C184" s="746"/>
      <c r="D184" s="825" t="s">
        <v>415</v>
      </c>
      <c r="E184" s="825"/>
      <c r="F184" s="825"/>
      <c r="G184" s="565" t="s">
        <v>290</v>
      </c>
      <c r="H184" s="746" t="s">
        <v>309</v>
      </c>
      <c r="I184" s="746"/>
      <c r="J184" s="565">
        <v>3</v>
      </c>
      <c r="K184" s="565">
        <f>VLOOKUP(B184,[2]Hoja2!Q:R,2,FALSE)</f>
        <v>66</v>
      </c>
      <c r="L184" s="817" t="s">
        <v>292</v>
      </c>
      <c r="M184" s="817"/>
      <c r="N184" s="817" t="s">
        <v>293</v>
      </c>
      <c r="O184" s="817"/>
      <c r="P184" s="563">
        <v>54</v>
      </c>
      <c r="Q184" s="564">
        <v>2.1700000000000001E-2</v>
      </c>
      <c r="R184" s="565">
        <v>1</v>
      </c>
    </row>
    <row r="185" spans="1:18" ht="26.25" customHeight="1" thickBot="1" x14ac:dyDescent="0.3">
      <c r="A185" s="11"/>
      <c r="B185" s="746">
        <v>37204009</v>
      </c>
      <c r="C185" s="746"/>
      <c r="D185" s="825" t="s">
        <v>416</v>
      </c>
      <c r="E185" s="825"/>
      <c r="F185" s="825"/>
      <c r="G185" s="565" t="s">
        <v>290</v>
      </c>
      <c r="H185" s="746" t="s">
        <v>283</v>
      </c>
      <c r="I185" s="746"/>
      <c r="J185" s="565">
        <v>6</v>
      </c>
      <c r="K185" s="565">
        <f>VLOOKUP(B185,[2]Hoja2!Q:R,2,FALSE)</f>
        <v>47</v>
      </c>
      <c r="L185" s="817" t="s">
        <v>417</v>
      </c>
      <c r="M185" s="817"/>
      <c r="N185" s="817" t="s">
        <v>293</v>
      </c>
      <c r="O185" s="817"/>
      <c r="P185" s="563">
        <v>54</v>
      </c>
      <c r="Q185" s="564">
        <v>2.1700000000000001E-2</v>
      </c>
      <c r="R185" s="565">
        <v>1</v>
      </c>
    </row>
    <row r="186" spans="1:18" ht="21" customHeight="1" x14ac:dyDescent="0.25">
      <c r="B186" s="741">
        <v>37204115</v>
      </c>
      <c r="C186" s="741"/>
      <c r="D186" s="824" t="s">
        <v>418</v>
      </c>
      <c r="E186" s="824"/>
      <c r="F186" s="824"/>
      <c r="G186" s="809" t="s">
        <v>290</v>
      </c>
      <c r="H186" s="741" t="s">
        <v>309</v>
      </c>
      <c r="I186" s="741"/>
      <c r="J186" s="809">
        <v>3</v>
      </c>
      <c r="K186" s="809">
        <f>VLOOKUP(B186,[2]Hoja2!Q:R,2,FALSE)</f>
        <v>52</v>
      </c>
      <c r="L186" s="818" t="s">
        <v>388</v>
      </c>
      <c r="M186" s="818"/>
      <c r="N186" s="818" t="s">
        <v>285</v>
      </c>
      <c r="O186" s="818"/>
      <c r="P186" s="555">
        <v>324</v>
      </c>
      <c r="Q186" s="556">
        <v>0.13039999999999999</v>
      </c>
      <c r="R186" s="809">
        <v>1</v>
      </c>
    </row>
    <row r="187" spans="1:18" ht="18" customHeight="1" thickBot="1" x14ac:dyDescent="0.3">
      <c r="B187" s="746"/>
      <c r="C187" s="746"/>
      <c r="D187" s="825"/>
      <c r="E187" s="825"/>
      <c r="F187" s="825"/>
      <c r="G187" s="810"/>
      <c r="H187" s="746"/>
      <c r="I187" s="746"/>
      <c r="J187" s="810"/>
      <c r="K187" s="810"/>
      <c r="L187" s="817" t="s">
        <v>406</v>
      </c>
      <c r="M187" s="817"/>
      <c r="N187" s="817" t="s">
        <v>409</v>
      </c>
      <c r="O187" s="817"/>
      <c r="P187" s="563">
        <v>162</v>
      </c>
      <c r="Q187" s="564">
        <v>6.5199999999999994E-2</v>
      </c>
      <c r="R187" s="810"/>
    </row>
    <row r="188" spans="1:18" ht="21" customHeight="1" thickBot="1" x14ac:dyDescent="0.3">
      <c r="B188" s="746">
        <v>37204007</v>
      </c>
      <c r="C188" s="746"/>
      <c r="D188" s="825" t="s">
        <v>419</v>
      </c>
      <c r="E188" s="825"/>
      <c r="F188" s="825"/>
      <c r="G188" s="565" t="s">
        <v>290</v>
      </c>
      <c r="H188" s="746" t="s">
        <v>283</v>
      </c>
      <c r="I188" s="746"/>
      <c r="J188" s="565">
        <v>6</v>
      </c>
      <c r="K188" s="565">
        <f>VLOOKUP(B188,[2]Hoja2!Q:R,2,FALSE)</f>
        <v>66</v>
      </c>
      <c r="L188" s="817" t="s">
        <v>420</v>
      </c>
      <c r="M188" s="817"/>
      <c r="N188" s="817" t="s">
        <v>285</v>
      </c>
      <c r="O188" s="817"/>
      <c r="P188" s="563">
        <v>63</v>
      </c>
      <c r="Q188" s="564">
        <v>2.5399999999999999E-2</v>
      </c>
      <c r="R188" s="565">
        <v>1</v>
      </c>
    </row>
    <row r="189" spans="1:18" ht="32.25" customHeight="1" thickBot="1" x14ac:dyDescent="0.3">
      <c r="B189" s="746">
        <v>37204124</v>
      </c>
      <c r="C189" s="746"/>
      <c r="D189" s="825" t="s">
        <v>421</v>
      </c>
      <c r="E189" s="825"/>
      <c r="F189" s="825"/>
      <c r="G189" s="565" t="s">
        <v>290</v>
      </c>
      <c r="H189" s="746" t="s">
        <v>309</v>
      </c>
      <c r="I189" s="746"/>
      <c r="J189" s="565">
        <v>6</v>
      </c>
      <c r="K189" s="565">
        <f>VLOOKUP(B189,[2]Hoja2!Q:R,2,FALSE)</f>
        <v>49</v>
      </c>
      <c r="L189" s="817" t="s">
        <v>422</v>
      </c>
      <c r="M189" s="817"/>
      <c r="N189" s="817" t="s">
        <v>293</v>
      </c>
      <c r="O189" s="817"/>
      <c r="P189" s="563">
        <v>54</v>
      </c>
      <c r="Q189" s="564">
        <v>2.1700000000000001E-2</v>
      </c>
      <c r="R189" s="565">
        <v>1</v>
      </c>
    </row>
    <row r="190" spans="1:18" ht="25.5" customHeight="1" thickBot="1" x14ac:dyDescent="0.3">
      <c r="B190" s="746">
        <v>37204101</v>
      </c>
      <c r="C190" s="746"/>
      <c r="D190" s="825" t="s">
        <v>423</v>
      </c>
      <c r="E190" s="825"/>
      <c r="F190" s="825"/>
      <c r="G190" s="565" t="s">
        <v>290</v>
      </c>
      <c r="H190" s="746" t="s">
        <v>309</v>
      </c>
      <c r="I190" s="746"/>
      <c r="J190" s="565">
        <v>6</v>
      </c>
      <c r="K190" s="565">
        <f>VLOOKUP(B190,[2]Hoja2!Q:R,2,FALSE)</f>
        <v>53</v>
      </c>
      <c r="L190" s="817" t="s">
        <v>411</v>
      </c>
      <c r="M190" s="817"/>
      <c r="N190" s="817" t="s">
        <v>293</v>
      </c>
      <c r="O190" s="817"/>
      <c r="P190" s="563">
        <v>121.5</v>
      </c>
      <c r="Q190" s="564">
        <v>4.8899999999999999E-2</v>
      </c>
      <c r="R190" s="565">
        <v>1</v>
      </c>
    </row>
    <row r="191" spans="1:18" ht="30.75" customHeight="1" thickBot="1" x14ac:dyDescent="0.3">
      <c r="B191" s="746">
        <v>37204119</v>
      </c>
      <c r="C191" s="746"/>
      <c r="D191" s="825" t="s">
        <v>424</v>
      </c>
      <c r="E191" s="825"/>
      <c r="F191" s="825"/>
      <c r="G191" s="565" t="s">
        <v>290</v>
      </c>
      <c r="H191" s="746" t="s">
        <v>309</v>
      </c>
      <c r="I191" s="746"/>
      <c r="J191" s="565">
        <v>5</v>
      </c>
      <c r="K191" s="565">
        <f>VLOOKUP(B191,[2]Hoja2!Q:R,2,FALSE)</f>
        <v>52</v>
      </c>
      <c r="L191" s="817" t="s">
        <v>392</v>
      </c>
      <c r="M191" s="817"/>
      <c r="N191" s="817" t="s">
        <v>293</v>
      </c>
      <c r="O191" s="817"/>
      <c r="P191" s="563">
        <v>99</v>
      </c>
      <c r="Q191" s="564">
        <v>3.9899999999999998E-2</v>
      </c>
      <c r="R191" s="565">
        <v>1</v>
      </c>
    </row>
    <row r="192" spans="1:18" ht="22.5" customHeight="1" thickBot="1" x14ac:dyDescent="0.3">
      <c r="B192" s="746">
        <v>37204133</v>
      </c>
      <c r="C192" s="746"/>
      <c r="D192" s="825" t="s">
        <v>425</v>
      </c>
      <c r="E192" s="825"/>
      <c r="F192" s="825"/>
      <c r="G192" s="565" t="s">
        <v>290</v>
      </c>
      <c r="H192" s="746" t="s">
        <v>309</v>
      </c>
      <c r="I192" s="746"/>
      <c r="J192" s="565">
        <v>4</v>
      </c>
      <c r="K192" s="565">
        <f>VLOOKUP(B192,[2]Hoja2!Q:R,2,FALSE)</f>
        <v>54</v>
      </c>
      <c r="L192" s="817" t="s">
        <v>426</v>
      </c>
      <c r="M192" s="817"/>
      <c r="N192" s="817" t="s">
        <v>305</v>
      </c>
      <c r="O192" s="817"/>
      <c r="P192" s="563">
        <v>207</v>
      </c>
      <c r="Q192" s="564">
        <v>8.3299999999999999E-2</v>
      </c>
      <c r="R192" s="565">
        <v>1</v>
      </c>
    </row>
    <row r="193" spans="2:18" ht="28.5" customHeight="1" thickBot="1" x14ac:dyDescent="0.3">
      <c r="B193" s="746">
        <v>37204108</v>
      </c>
      <c r="C193" s="746"/>
      <c r="D193" s="825" t="s">
        <v>427</v>
      </c>
      <c r="E193" s="825"/>
      <c r="F193" s="825"/>
      <c r="G193" s="565" t="s">
        <v>290</v>
      </c>
      <c r="H193" s="746" t="s">
        <v>309</v>
      </c>
      <c r="I193" s="746"/>
      <c r="J193" s="565">
        <v>3</v>
      </c>
      <c r="K193" s="565">
        <f>VLOOKUP(B193,[2]Hoja2!Q:R,2,FALSE)</f>
        <v>53</v>
      </c>
      <c r="L193" s="817" t="s">
        <v>428</v>
      </c>
      <c r="M193" s="817"/>
      <c r="N193" s="817" t="s">
        <v>293</v>
      </c>
      <c r="O193" s="817"/>
      <c r="P193" s="563">
        <v>63</v>
      </c>
      <c r="Q193" s="564">
        <v>2.5399999999999999E-2</v>
      </c>
      <c r="R193" s="565">
        <v>1</v>
      </c>
    </row>
    <row r="194" spans="2:18" ht="21" customHeight="1" thickBot="1" x14ac:dyDescent="0.3">
      <c r="B194" s="746">
        <v>37204125</v>
      </c>
      <c r="C194" s="746"/>
      <c r="D194" s="825" t="s">
        <v>429</v>
      </c>
      <c r="E194" s="825"/>
      <c r="F194" s="825"/>
      <c r="G194" s="565" t="s">
        <v>290</v>
      </c>
      <c r="H194" s="746" t="s">
        <v>309</v>
      </c>
      <c r="I194" s="746"/>
      <c r="J194" s="565">
        <v>6</v>
      </c>
      <c r="K194" s="565">
        <f>VLOOKUP(B194,[2]Hoja2!Q:R,2,FALSE)</f>
        <v>44</v>
      </c>
      <c r="L194" s="817" t="s">
        <v>388</v>
      </c>
      <c r="M194" s="817"/>
      <c r="N194" s="817" t="s">
        <v>285</v>
      </c>
      <c r="O194" s="817"/>
      <c r="P194" s="563">
        <v>324</v>
      </c>
      <c r="Q194" s="564">
        <v>0.13039999999999999</v>
      </c>
      <c r="R194" s="565"/>
    </row>
    <row r="195" spans="2:18" ht="33.75" customHeight="1" thickBot="1" x14ac:dyDescent="0.3">
      <c r="B195" s="746">
        <v>37204111</v>
      </c>
      <c r="C195" s="746"/>
      <c r="D195" s="825" t="s">
        <v>430</v>
      </c>
      <c r="E195" s="825"/>
      <c r="F195" s="825"/>
      <c r="G195" s="565" t="s">
        <v>313</v>
      </c>
      <c r="H195" s="746" t="s">
        <v>309</v>
      </c>
      <c r="I195" s="746"/>
      <c r="J195" s="565">
        <v>3</v>
      </c>
      <c r="K195" s="565">
        <f>VLOOKUP(B195,[2]Hoja2!Q:R,2,FALSE)</f>
        <v>75</v>
      </c>
      <c r="L195" s="817" t="s">
        <v>431</v>
      </c>
      <c r="M195" s="817"/>
      <c r="N195" s="817" t="s">
        <v>293</v>
      </c>
      <c r="O195" s="817"/>
      <c r="P195" s="563">
        <v>27</v>
      </c>
      <c r="Q195" s="564">
        <v>1.09E-2</v>
      </c>
      <c r="R195" s="565">
        <v>1</v>
      </c>
    </row>
    <row r="196" spans="2:18" ht="30.75" customHeight="1" thickBot="1" x14ac:dyDescent="0.3">
      <c r="B196" s="746">
        <v>37204105</v>
      </c>
      <c r="C196" s="746"/>
      <c r="D196" s="825" t="s">
        <v>432</v>
      </c>
      <c r="E196" s="825"/>
      <c r="F196" s="825"/>
      <c r="G196" s="565" t="s">
        <v>313</v>
      </c>
      <c r="H196" s="746" t="s">
        <v>309</v>
      </c>
      <c r="I196" s="746"/>
      <c r="J196" s="565">
        <v>3</v>
      </c>
      <c r="K196" s="565">
        <f>VLOOKUP(B196,[2]Hoja2!Q:R,2,FALSE)</f>
        <v>54</v>
      </c>
      <c r="L196" s="817" t="s">
        <v>433</v>
      </c>
      <c r="M196" s="817"/>
      <c r="N196" s="817" t="s">
        <v>293</v>
      </c>
      <c r="O196" s="817"/>
      <c r="P196" s="563">
        <v>27</v>
      </c>
      <c r="Q196" s="564">
        <v>1.09E-2</v>
      </c>
      <c r="R196" s="565">
        <v>1</v>
      </c>
    </row>
    <row r="197" spans="2:18" ht="19.5" customHeight="1" thickBot="1" x14ac:dyDescent="0.3">
      <c r="B197" s="810">
        <v>37204113</v>
      </c>
      <c r="C197" s="810"/>
      <c r="D197" s="825" t="s">
        <v>434</v>
      </c>
      <c r="E197" s="825"/>
      <c r="F197" s="825"/>
      <c r="G197" s="565" t="s">
        <v>313</v>
      </c>
      <c r="H197" s="746" t="s">
        <v>309</v>
      </c>
      <c r="I197" s="746"/>
      <c r="J197" s="565">
        <v>4</v>
      </c>
      <c r="K197" s="565">
        <f>VLOOKUP(B197,[2]Hoja2!Q:R,2,FALSE)</f>
        <v>50</v>
      </c>
      <c r="L197" s="817" t="s">
        <v>406</v>
      </c>
      <c r="M197" s="817"/>
      <c r="N197" s="817" t="s">
        <v>409</v>
      </c>
      <c r="O197" s="817"/>
      <c r="P197" s="563">
        <v>162</v>
      </c>
      <c r="Q197" s="564">
        <v>6.5199999999999994E-2</v>
      </c>
      <c r="R197" s="565">
        <v>1</v>
      </c>
    </row>
    <row r="198" spans="2:18" ht="28.5" customHeight="1" x14ac:dyDescent="0.25">
      <c r="B198" s="809">
        <v>37204121</v>
      </c>
      <c r="C198" s="809"/>
      <c r="D198" s="824" t="s">
        <v>435</v>
      </c>
      <c r="E198" s="824"/>
      <c r="F198" s="824"/>
      <c r="G198" s="809" t="s">
        <v>313</v>
      </c>
      <c r="H198" s="741" t="s">
        <v>309</v>
      </c>
      <c r="I198" s="741"/>
      <c r="J198" s="809">
        <v>6</v>
      </c>
      <c r="K198" s="809">
        <f>VLOOKUP(B198,[2]Hoja2!Q:R,2,FALSE)</f>
        <v>55</v>
      </c>
      <c r="L198" s="818" t="s">
        <v>436</v>
      </c>
      <c r="M198" s="818"/>
      <c r="N198" s="818" t="s">
        <v>293</v>
      </c>
      <c r="O198" s="818"/>
      <c r="P198" s="555">
        <v>18</v>
      </c>
      <c r="Q198" s="556">
        <v>7.1999999999999998E-3</v>
      </c>
      <c r="R198" s="809">
        <v>1</v>
      </c>
    </row>
    <row r="199" spans="2:18" ht="27" customHeight="1" thickBot="1" x14ac:dyDescent="0.3">
      <c r="B199" s="810"/>
      <c r="C199" s="810"/>
      <c r="D199" s="825"/>
      <c r="E199" s="825"/>
      <c r="F199" s="825"/>
      <c r="G199" s="810"/>
      <c r="H199" s="746"/>
      <c r="I199" s="746"/>
      <c r="J199" s="810"/>
      <c r="K199" s="810"/>
      <c r="L199" s="817" t="s">
        <v>437</v>
      </c>
      <c r="M199" s="817"/>
      <c r="N199" s="817" t="s">
        <v>336</v>
      </c>
      <c r="O199" s="817"/>
      <c r="P199" s="563">
        <v>274.5</v>
      </c>
      <c r="Q199" s="564">
        <v>0.1105</v>
      </c>
      <c r="R199" s="810"/>
    </row>
    <row r="200" spans="2:18" ht="29.25" customHeight="1" x14ac:dyDescent="0.25">
      <c r="B200" s="741">
        <v>37204106</v>
      </c>
      <c r="C200" s="741"/>
      <c r="D200" s="824" t="s">
        <v>438</v>
      </c>
      <c r="E200" s="824"/>
      <c r="F200" s="824"/>
      <c r="G200" s="809" t="s">
        <v>313</v>
      </c>
      <c r="H200" s="741" t="s">
        <v>309</v>
      </c>
      <c r="I200" s="741"/>
      <c r="J200" s="809">
        <v>3</v>
      </c>
      <c r="K200" s="809">
        <f>VLOOKUP(B200,[2]Hoja2!Q:R,2,FALSE)</f>
        <v>56</v>
      </c>
      <c r="L200" s="818" t="s">
        <v>400</v>
      </c>
      <c r="M200" s="818"/>
      <c r="N200" s="818" t="s">
        <v>288</v>
      </c>
      <c r="O200" s="818"/>
      <c r="P200" s="555">
        <v>85.5</v>
      </c>
      <c r="Q200" s="556">
        <v>3.44E-2</v>
      </c>
      <c r="R200" s="809">
        <v>1</v>
      </c>
    </row>
    <row r="201" spans="2:18" ht="28.5" customHeight="1" thickBot="1" x14ac:dyDescent="0.3">
      <c r="B201" s="746"/>
      <c r="C201" s="746"/>
      <c r="D201" s="825"/>
      <c r="E201" s="825"/>
      <c r="F201" s="825"/>
      <c r="G201" s="810"/>
      <c r="H201" s="746"/>
      <c r="I201" s="746"/>
      <c r="J201" s="810"/>
      <c r="K201" s="810"/>
      <c r="L201" s="817" t="s">
        <v>334</v>
      </c>
      <c r="M201" s="817"/>
      <c r="N201" s="817" t="s">
        <v>288</v>
      </c>
      <c r="O201" s="817"/>
      <c r="P201" s="563">
        <v>103.5</v>
      </c>
      <c r="Q201" s="564">
        <v>4.1700000000000001E-2</v>
      </c>
      <c r="R201" s="810"/>
    </row>
    <row r="202" spans="2:18" ht="24.75" customHeight="1" x14ac:dyDescent="0.25">
      <c r="B202" s="741">
        <v>37204104</v>
      </c>
      <c r="C202" s="741"/>
      <c r="D202" s="824" t="s">
        <v>439</v>
      </c>
      <c r="E202" s="824"/>
      <c r="F202" s="824"/>
      <c r="G202" s="809" t="s">
        <v>313</v>
      </c>
      <c r="H202" s="741" t="s">
        <v>309</v>
      </c>
      <c r="I202" s="741"/>
      <c r="J202" s="809">
        <v>5</v>
      </c>
      <c r="K202" s="809">
        <f>VLOOKUP(B202,[2]Hoja2!Q:R,2,FALSE)</f>
        <v>59</v>
      </c>
      <c r="L202" s="818" t="s">
        <v>440</v>
      </c>
      <c r="M202" s="818"/>
      <c r="N202" s="818" t="s">
        <v>336</v>
      </c>
      <c r="O202" s="818"/>
      <c r="P202" s="555">
        <v>27</v>
      </c>
      <c r="Q202" s="556">
        <v>1.09E-2</v>
      </c>
      <c r="R202" s="809">
        <v>1</v>
      </c>
    </row>
    <row r="203" spans="2:18" ht="27" customHeight="1" thickBot="1" x14ac:dyDescent="0.3">
      <c r="B203" s="746"/>
      <c r="C203" s="746"/>
      <c r="D203" s="825"/>
      <c r="E203" s="825"/>
      <c r="F203" s="825"/>
      <c r="G203" s="810"/>
      <c r="H203" s="746"/>
      <c r="I203" s="746"/>
      <c r="J203" s="810"/>
      <c r="K203" s="810"/>
      <c r="L203" s="817" t="s">
        <v>441</v>
      </c>
      <c r="M203" s="817"/>
      <c r="N203" s="817" t="s">
        <v>336</v>
      </c>
      <c r="O203" s="817"/>
      <c r="P203" s="563">
        <v>27</v>
      </c>
      <c r="Q203" s="564">
        <v>1.09E-2</v>
      </c>
      <c r="R203" s="819"/>
    </row>
    <row r="204" spans="2:18" ht="15" customHeight="1" x14ac:dyDescent="0.25">
      <c r="B204" s="741">
        <v>37204109</v>
      </c>
      <c r="C204" s="741"/>
      <c r="D204" s="824" t="s">
        <v>442</v>
      </c>
      <c r="E204" s="824"/>
      <c r="F204" s="824"/>
      <c r="G204" s="809" t="s">
        <v>313</v>
      </c>
      <c r="H204" s="741" t="s">
        <v>309</v>
      </c>
      <c r="I204" s="741"/>
      <c r="J204" s="809">
        <v>6</v>
      </c>
      <c r="K204" s="809">
        <f>VLOOKUP(B204,[2]Hoja2!Q:R,2,FALSE)</f>
        <v>13</v>
      </c>
      <c r="L204" s="818" t="s">
        <v>411</v>
      </c>
      <c r="M204" s="818"/>
      <c r="N204" s="818" t="s">
        <v>293</v>
      </c>
      <c r="O204" s="818"/>
      <c r="P204" s="818">
        <v>121.5</v>
      </c>
      <c r="Q204" s="821">
        <v>4.8899999999999999E-2</v>
      </c>
      <c r="R204" s="809">
        <v>1</v>
      </c>
    </row>
    <row r="205" spans="2:18" ht="11.25" customHeight="1" x14ac:dyDescent="0.25">
      <c r="B205" s="741"/>
      <c r="C205" s="741"/>
      <c r="D205" s="824"/>
      <c r="E205" s="824"/>
      <c r="F205" s="824"/>
      <c r="G205" s="809"/>
      <c r="H205" s="741"/>
      <c r="I205" s="741"/>
      <c r="J205" s="809"/>
      <c r="K205" s="809"/>
      <c r="L205" s="818"/>
      <c r="M205" s="818"/>
      <c r="N205" s="818"/>
      <c r="O205" s="818"/>
      <c r="P205" s="820"/>
      <c r="Q205" s="822"/>
      <c r="R205" s="823"/>
    </row>
    <row r="206" spans="2:18" ht="28.5" customHeight="1" x14ac:dyDescent="0.25">
      <c r="B206" s="741"/>
      <c r="C206" s="741"/>
      <c r="D206" s="824"/>
      <c r="E206" s="824"/>
      <c r="F206" s="824"/>
      <c r="G206" s="809"/>
      <c r="H206" s="741"/>
      <c r="I206" s="741"/>
      <c r="J206" s="809"/>
      <c r="K206" s="809"/>
      <c r="L206" s="818" t="s">
        <v>428</v>
      </c>
      <c r="M206" s="818"/>
      <c r="N206" s="818" t="s">
        <v>293</v>
      </c>
      <c r="O206" s="818"/>
      <c r="P206" s="555">
        <v>63</v>
      </c>
      <c r="Q206" s="556">
        <v>2.5399999999999999E-2</v>
      </c>
      <c r="R206" s="809"/>
    </row>
    <row r="207" spans="2:18" ht="24.75" customHeight="1" x14ac:dyDescent="0.25">
      <c r="B207" s="741"/>
      <c r="C207" s="741"/>
      <c r="D207" s="824"/>
      <c r="E207" s="824"/>
      <c r="F207" s="824"/>
      <c r="G207" s="809"/>
      <c r="H207" s="741"/>
      <c r="I207" s="741"/>
      <c r="J207" s="809"/>
      <c r="K207" s="809"/>
      <c r="L207" s="818" t="s">
        <v>426</v>
      </c>
      <c r="M207" s="818"/>
      <c r="N207" s="818" t="s">
        <v>305</v>
      </c>
      <c r="O207" s="818"/>
      <c r="P207" s="555">
        <v>207</v>
      </c>
      <c r="Q207" s="556">
        <v>8.3299999999999999E-2</v>
      </c>
      <c r="R207" s="809"/>
    </row>
    <row r="208" spans="2:18" ht="25.5" customHeight="1" x14ac:dyDescent="0.25">
      <c r="B208" s="741"/>
      <c r="C208" s="741"/>
      <c r="D208" s="824"/>
      <c r="E208" s="824"/>
      <c r="F208" s="824"/>
      <c r="G208" s="809"/>
      <c r="H208" s="741"/>
      <c r="I208" s="741"/>
      <c r="J208" s="809"/>
      <c r="K208" s="809"/>
      <c r="L208" s="818" t="s">
        <v>436</v>
      </c>
      <c r="M208" s="818"/>
      <c r="N208" s="818" t="s">
        <v>293</v>
      </c>
      <c r="O208" s="818"/>
      <c r="P208" s="555">
        <v>18</v>
      </c>
      <c r="Q208" s="556">
        <v>7.1999999999999998E-3</v>
      </c>
      <c r="R208" s="809"/>
    </row>
    <row r="209" spans="2:18" ht="31.5" customHeight="1" thickBot="1" x14ac:dyDescent="0.3">
      <c r="B209" s="746"/>
      <c r="C209" s="746"/>
      <c r="D209" s="825"/>
      <c r="E209" s="825"/>
      <c r="F209" s="825"/>
      <c r="G209" s="810"/>
      <c r="H209" s="746"/>
      <c r="I209" s="746"/>
      <c r="J209" s="810"/>
      <c r="K209" s="810"/>
      <c r="L209" s="817" t="s">
        <v>437</v>
      </c>
      <c r="M209" s="817"/>
      <c r="N209" s="817" t="s">
        <v>336</v>
      </c>
      <c r="O209" s="817"/>
      <c r="P209" s="563">
        <v>274.5</v>
      </c>
      <c r="Q209" s="564">
        <v>0.1105</v>
      </c>
      <c r="R209" s="810"/>
    </row>
    <row r="210" spans="2:18" ht="15" customHeight="1" x14ac:dyDescent="0.25">
      <c r="B210" s="741">
        <v>37204134</v>
      </c>
      <c r="C210" s="741"/>
      <c r="D210" s="824" t="s">
        <v>442</v>
      </c>
      <c r="E210" s="824"/>
      <c r="F210" s="824"/>
      <c r="G210" s="809" t="s">
        <v>313</v>
      </c>
      <c r="H210" s="741" t="s">
        <v>309</v>
      </c>
      <c r="I210" s="741"/>
      <c r="J210" s="809">
        <v>8</v>
      </c>
      <c r="K210" s="809">
        <f>VLOOKUP(B210,[2]Hoja2!Q:R,2,FALSE)</f>
        <v>50</v>
      </c>
      <c r="L210" s="818" t="s">
        <v>411</v>
      </c>
      <c r="M210" s="818"/>
      <c r="N210" s="818" t="s">
        <v>293</v>
      </c>
      <c r="O210" s="818"/>
      <c r="P210" s="818">
        <v>121.5</v>
      </c>
      <c r="Q210" s="821">
        <v>4.8899999999999999E-2</v>
      </c>
      <c r="R210" s="809">
        <v>1</v>
      </c>
    </row>
    <row r="211" spans="2:18" x14ac:dyDescent="0.25">
      <c r="B211" s="741"/>
      <c r="C211" s="741"/>
      <c r="D211" s="824"/>
      <c r="E211" s="824"/>
      <c r="F211" s="824"/>
      <c r="G211" s="809"/>
      <c r="H211" s="741"/>
      <c r="I211" s="741"/>
      <c r="J211" s="809"/>
      <c r="K211" s="809"/>
      <c r="L211" s="818"/>
      <c r="M211" s="818"/>
      <c r="N211" s="818"/>
      <c r="O211" s="818"/>
      <c r="P211" s="820"/>
      <c r="Q211" s="822"/>
      <c r="R211" s="823"/>
    </row>
    <row r="212" spans="2:18" ht="26.25" customHeight="1" x14ac:dyDescent="0.25">
      <c r="B212" s="741"/>
      <c r="C212" s="741"/>
      <c r="D212" s="824"/>
      <c r="E212" s="824"/>
      <c r="F212" s="824"/>
      <c r="G212" s="809"/>
      <c r="H212" s="741"/>
      <c r="I212" s="741"/>
      <c r="J212" s="809"/>
      <c r="K212" s="809"/>
      <c r="L212" s="818" t="s">
        <v>428</v>
      </c>
      <c r="M212" s="818"/>
      <c r="N212" s="818" t="s">
        <v>293</v>
      </c>
      <c r="O212" s="818"/>
      <c r="P212" s="555">
        <v>63</v>
      </c>
      <c r="Q212" s="556">
        <v>2.5399999999999999E-2</v>
      </c>
      <c r="R212" s="809"/>
    </row>
    <row r="213" spans="2:18" ht="17.25" customHeight="1" x14ac:dyDescent="0.25">
      <c r="B213" s="741"/>
      <c r="C213" s="741"/>
      <c r="D213" s="824"/>
      <c r="E213" s="824"/>
      <c r="F213" s="824"/>
      <c r="G213" s="809"/>
      <c r="H213" s="741"/>
      <c r="I213" s="741"/>
      <c r="J213" s="809"/>
      <c r="K213" s="809"/>
      <c r="L213" s="818" t="s">
        <v>426</v>
      </c>
      <c r="M213" s="818"/>
      <c r="N213" s="818" t="s">
        <v>305</v>
      </c>
      <c r="O213" s="818"/>
      <c r="P213" s="555">
        <v>207</v>
      </c>
      <c r="Q213" s="556">
        <v>8.3299999999999999E-2</v>
      </c>
      <c r="R213" s="809"/>
    </row>
    <row r="214" spans="2:18" ht="27.75" customHeight="1" x14ac:dyDescent="0.25">
      <c r="B214" s="741"/>
      <c r="C214" s="741"/>
      <c r="D214" s="824"/>
      <c r="E214" s="824"/>
      <c r="F214" s="824"/>
      <c r="G214" s="809"/>
      <c r="H214" s="741"/>
      <c r="I214" s="741"/>
      <c r="J214" s="809"/>
      <c r="K214" s="809"/>
      <c r="L214" s="818" t="s">
        <v>436</v>
      </c>
      <c r="M214" s="818"/>
      <c r="N214" s="818" t="s">
        <v>293</v>
      </c>
      <c r="O214" s="818"/>
      <c r="P214" s="555">
        <v>18</v>
      </c>
      <c r="Q214" s="556">
        <v>7.1999999999999998E-3</v>
      </c>
      <c r="R214" s="809"/>
    </row>
    <row r="215" spans="2:18" ht="25.5" customHeight="1" thickBot="1" x14ac:dyDescent="0.3">
      <c r="B215" s="746"/>
      <c r="C215" s="746"/>
      <c r="D215" s="825"/>
      <c r="E215" s="825"/>
      <c r="F215" s="825"/>
      <c r="G215" s="810"/>
      <c r="H215" s="746"/>
      <c r="I215" s="746"/>
      <c r="J215" s="810"/>
      <c r="K215" s="810"/>
      <c r="L215" s="817" t="s">
        <v>437</v>
      </c>
      <c r="M215" s="817"/>
      <c r="N215" s="817" t="s">
        <v>336</v>
      </c>
      <c r="O215" s="817"/>
      <c r="P215" s="563">
        <v>274.5</v>
      </c>
      <c r="Q215" s="564">
        <v>0.1105</v>
      </c>
      <c r="R215" s="810"/>
    </row>
    <row r="216" spans="2:18" ht="31.5" customHeight="1" thickBot="1" x14ac:dyDescent="0.3">
      <c r="B216" s="746">
        <v>37204135</v>
      </c>
      <c r="C216" s="746"/>
      <c r="D216" s="825" t="s">
        <v>443</v>
      </c>
      <c r="E216" s="825"/>
      <c r="F216" s="825"/>
      <c r="G216" s="565" t="s">
        <v>313</v>
      </c>
      <c r="H216" s="746" t="s">
        <v>309</v>
      </c>
      <c r="I216" s="746"/>
      <c r="J216" s="565">
        <v>8</v>
      </c>
      <c r="K216" s="565">
        <f>VLOOKUP(B216,[2]Hoja2!Q:R,2,FALSE)</f>
        <v>51</v>
      </c>
      <c r="L216" s="817" t="s">
        <v>426</v>
      </c>
      <c r="M216" s="817"/>
      <c r="N216" s="817" t="s">
        <v>305</v>
      </c>
      <c r="O216" s="817"/>
      <c r="P216" s="563">
        <v>207</v>
      </c>
      <c r="Q216" s="564">
        <v>8.3299999999999999E-2</v>
      </c>
      <c r="R216" s="565">
        <v>1</v>
      </c>
    </row>
    <row r="217" spans="2:18" ht="24.75" customHeight="1" x14ac:dyDescent="0.25">
      <c r="B217" s="809">
        <v>37204107</v>
      </c>
      <c r="C217" s="809"/>
      <c r="D217" s="824" t="s">
        <v>444</v>
      </c>
      <c r="E217" s="824"/>
      <c r="F217" s="824"/>
      <c r="G217" s="809" t="s">
        <v>313</v>
      </c>
      <c r="H217" s="741" t="s">
        <v>309</v>
      </c>
      <c r="I217" s="741"/>
      <c r="J217" s="809">
        <v>7</v>
      </c>
      <c r="K217" s="809">
        <f>VLOOKUP(B217,[2]Hoja2!Q:R,2,FALSE)</f>
        <v>66</v>
      </c>
      <c r="L217" s="818" t="s">
        <v>413</v>
      </c>
      <c r="M217" s="818"/>
      <c r="N217" s="818" t="s">
        <v>288</v>
      </c>
      <c r="O217" s="818"/>
      <c r="P217" s="555">
        <v>108</v>
      </c>
      <c r="Q217" s="556">
        <v>4.3499999999999997E-2</v>
      </c>
      <c r="R217" s="809">
        <v>1</v>
      </c>
    </row>
    <row r="218" spans="2:18" ht="27.75" customHeight="1" thickBot="1" x14ac:dyDescent="0.3">
      <c r="B218" s="810"/>
      <c r="C218" s="810"/>
      <c r="D218" s="825"/>
      <c r="E218" s="825"/>
      <c r="F218" s="825"/>
      <c r="G218" s="810"/>
      <c r="H218" s="746"/>
      <c r="I218" s="746"/>
      <c r="J218" s="810"/>
      <c r="K218" s="810"/>
      <c r="L218" s="817" t="s">
        <v>396</v>
      </c>
      <c r="M218" s="817"/>
      <c r="N218" s="817" t="s">
        <v>293</v>
      </c>
      <c r="O218" s="817"/>
      <c r="P218" s="563">
        <v>18</v>
      </c>
      <c r="Q218" s="564">
        <v>7.1999999999999998E-3</v>
      </c>
      <c r="R218" s="810"/>
    </row>
    <row r="219" spans="2:18" ht="21" customHeight="1" thickBot="1" x14ac:dyDescent="0.3">
      <c r="B219" s="746">
        <v>37204126</v>
      </c>
      <c r="C219" s="746"/>
      <c r="D219" s="825" t="s">
        <v>445</v>
      </c>
      <c r="E219" s="825"/>
      <c r="F219" s="825"/>
      <c r="G219" s="565" t="s">
        <v>313</v>
      </c>
      <c r="H219" s="746" t="s">
        <v>309</v>
      </c>
      <c r="I219" s="746"/>
      <c r="J219" s="565">
        <v>6</v>
      </c>
      <c r="K219" s="565">
        <f>VLOOKUP(B219,[2]Hoja2!Q:R,2,FALSE)</f>
        <v>55</v>
      </c>
      <c r="L219" s="817" t="s">
        <v>388</v>
      </c>
      <c r="M219" s="817"/>
      <c r="N219" s="817" t="s">
        <v>285</v>
      </c>
      <c r="O219" s="817"/>
      <c r="P219" s="563">
        <v>324</v>
      </c>
      <c r="Q219" s="564">
        <v>0.13039999999999999</v>
      </c>
      <c r="R219" s="565">
        <v>1</v>
      </c>
    </row>
    <row r="220" spans="2:18" ht="33" customHeight="1" thickBot="1" x14ac:dyDescent="0.3">
      <c r="B220" s="746">
        <v>37204110</v>
      </c>
      <c r="C220" s="746"/>
      <c r="D220" s="825" t="s">
        <v>446</v>
      </c>
      <c r="E220" s="825"/>
      <c r="F220" s="825"/>
      <c r="G220" s="565" t="s">
        <v>313</v>
      </c>
      <c r="H220" s="746" t="s">
        <v>309</v>
      </c>
      <c r="I220" s="746"/>
      <c r="J220" s="565">
        <v>4</v>
      </c>
      <c r="K220" s="565">
        <f>VLOOKUP(B220,[2]Hoja2!Q:R,2,FALSE)</f>
        <v>60</v>
      </c>
      <c r="L220" s="817" t="s">
        <v>447</v>
      </c>
      <c r="M220" s="817"/>
      <c r="N220" s="817" t="s">
        <v>293</v>
      </c>
      <c r="O220" s="817"/>
      <c r="P220" s="563">
        <v>58.5</v>
      </c>
      <c r="Q220" s="564">
        <v>2.3599999999999999E-2</v>
      </c>
      <c r="R220" s="565">
        <v>1</v>
      </c>
    </row>
    <row r="221" spans="2:18" ht="32.25" customHeight="1" thickBot="1" x14ac:dyDescent="0.3">
      <c r="B221" s="810">
        <v>37204218</v>
      </c>
      <c r="C221" s="810"/>
      <c r="D221" s="825" t="s">
        <v>448</v>
      </c>
      <c r="E221" s="825"/>
      <c r="F221" s="825"/>
      <c r="G221" s="565" t="s">
        <v>313</v>
      </c>
      <c r="H221" s="746" t="s">
        <v>353</v>
      </c>
      <c r="I221" s="746"/>
      <c r="J221" s="565">
        <v>3</v>
      </c>
      <c r="K221" s="565">
        <f>VLOOKUP(B221,[2]Hoja2!Q:R,2,FALSE)</f>
        <v>11</v>
      </c>
      <c r="L221" s="817" t="s">
        <v>287</v>
      </c>
      <c r="M221" s="817"/>
      <c r="N221" s="817" t="s">
        <v>288</v>
      </c>
      <c r="O221" s="817"/>
      <c r="P221" s="563">
        <v>72</v>
      </c>
      <c r="Q221" s="564">
        <v>2.9000000000000001E-2</v>
      </c>
      <c r="R221" s="565">
        <v>1</v>
      </c>
    </row>
    <row r="222" spans="2:18" ht="30" customHeight="1" thickBot="1" x14ac:dyDescent="0.3">
      <c r="B222" s="810">
        <v>37204221</v>
      </c>
      <c r="C222" s="810"/>
      <c r="D222" s="825" t="s">
        <v>449</v>
      </c>
      <c r="E222" s="825"/>
      <c r="F222" s="825"/>
      <c r="G222" s="565" t="s">
        <v>313</v>
      </c>
      <c r="H222" s="746" t="s">
        <v>353</v>
      </c>
      <c r="I222" s="746"/>
      <c r="J222" s="565">
        <v>3</v>
      </c>
      <c r="K222" s="565">
        <f>VLOOKUP(B222,[2]Hoja2!Q:R,2,FALSE)</f>
        <v>21</v>
      </c>
      <c r="L222" s="817" t="s">
        <v>450</v>
      </c>
      <c r="M222" s="817"/>
      <c r="N222" s="817" t="s">
        <v>293</v>
      </c>
      <c r="O222" s="817"/>
      <c r="P222" s="563">
        <v>27</v>
      </c>
      <c r="Q222" s="564">
        <v>1.09E-2</v>
      </c>
      <c r="R222" s="565">
        <v>1</v>
      </c>
    </row>
    <row r="223" spans="2:18" ht="19.5" customHeight="1" x14ac:dyDescent="0.25">
      <c r="B223" s="809">
        <v>37204224</v>
      </c>
      <c r="C223" s="809"/>
      <c r="D223" s="824" t="s">
        <v>451</v>
      </c>
      <c r="E223" s="824"/>
      <c r="F223" s="824"/>
      <c r="G223" s="809" t="s">
        <v>313</v>
      </c>
      <c r="H223" s="741" t="s">
        <v>283</v>
      </c>
      <c r="I223" s="741"/>
      <c r="J223" s="809">
        <v>3</v>
      </c>
      <c r="K223" s="809">
        <f>VLOOKUP(B223,[2]Hoja2!Q:R,2,FALSE)</f>
        <v>20</v>
      </c>
      <c r="L223" s="818" t="s">
        <v>406</v>
      </c>
      <c r="M223" s="818"/>
      <c r="N223" s="818" t="s">
        <v>409</v>
      </c>
      <c r="O223" s="818"/>
      <c r="P223" s="555">
        <v>162</v>
      </c>
      <c r="Q223" s="556">
        <v>6.5199999999999994E-2</v>
      </c>
      <c r="R223" s="557">
        <v>1</v>
      </c>
    </row>
    <row r="224" spans="2:18" ht="25.5" customHeight="1" thickBot="1" x14ac:dyDescent="0.3">
      <c r="B224" s="810"/>
      <c r="C224" s="810"/>
      <c r="D224" s="825"/>
      <c r="E224" s="825"/>
      <c r="F224" s="825"/>
      <c r="G224" s="810"/>
      <c r="H224" s="746"/>
      <c r="I224" s="746"/>
      <c r="J224" s="810"/>
      <c r="K224" s="810"/>
      <c r="L224" s="817" t="s">
        <v>354</v>
      </c>
      <c r="M224" s="817"/>
      <c r="N224" s="817" t="s">
        <v>336</v>
      </c>
      <c r="O224" s="817"/>
      <c r="P224" s="563">
        <v>45</v>
      </c>
      <c r="Q224" s="564">
        <v>1.8100000000000002E-2</v>
      </c>
      <c r="R224" s="565">
        <v>1</v>
      </c>
    </row>
    <row r="225" spans="2:18" ht="15" customHeight="1" x14ac:dyDescent="0.25">
      <c r="B225" s="809">
        <v>37204116</v>
      </c>
      <c r="C225" s="809"/>
      <c r="D225" s="824" t="s">
        <v>452</v>
      </c>
      <c r="E225" s="824"/>
      <c r="F225" s="824"/>
      <c r="G225" s="809" t="s">
        <v>330</v>
      </c>
      <c r="H225" s="741" t="s">
        <v>309</v>
      </c>
      <c r="I225" s="741"/>
      <c r="J225" s="809">
        <v>3</v>
      </c>
      <c r="K225" s="809">
        <f>VLOOKUP(B225,[2]Hoja2!Q:R,2,FALSE)</f>
        <v>42</v>
      </c>
      <c r="L225" s="818" t="s">
        <v>453</v>
      </c>
      <c r="M225" s="818"/>
      <c r="N225" s="818" t="s">
        <v>293</v>
      </c>
      <c r="O225" s="818"/>
      <c r="P225" s="818">
        <v>27</v>
      </c>
      <c r="Q225" s="821">
        <v>1.09E-2</v>
      </c>
      <c r="R225" s="809">
        <v>1</v>
      </c>
    </row>
    <row r="226" spans="2:18" ht="15.75" thickBot="1" x14ac:dyDescent="0.3">
      <c r="B226" s="810"/>
      <c r="C226" s="810"/>
      <c r="D226" s="825"/>
      <c r="E226" s="825"/>
      <c r="F226" s="825"/>
      <c r="G226" s="810"/>
      <c r="H226" s="746"/>
      <c r="I226" s="746"/>
      <c r="J226" s="810"/>
      <c r="K226" s="810"/>
      <c r="L226" s="817"/>
      <c r="M226" s="817"/>
      <c r="N226" s="817"/>
      <c r="O226" s="817"/>
      <c r="P226" s="828"/>
      <c r="Q226" s="826"/>
      <c r="R226" s="819"/>
    </row>
    <row r="227" spans="2:18" ht="31.5" customHeight="1" thickBot="1" x14ac:dyDescent="0.3">
      <c r="B227" s="810">
        <v>37204117</v>
      </c>
      <c r="C227" s="810"/>
      <c r="D227" s="825" t="s">
        <v>454</v>
      </c>
      <c r="E227" s="825"/>
      <c r="F227" s="825"/>
      <c r="G227" s="565" t="s">
        <v>330</v>
      </c>
      <c r="H227" s="746" t="s">
        <v>309</v>
      </c>
      <c r="I227" s="746"/>
      <c r="J227" s="565">
        <v>3</v>
      </c>
      <c r="K227" s="565">
        <f>VLOOKUP(B227,[2]Hoja2!Q:R,2,FALSE)</f>
        <v>51</v>
      </c>
      <c r="L227" s="817" t="s">
        <v>455</v>
      </c>
      <c r="M227" s="817"/>
      <c r="N227" s="817" t="s">
        <v>293</v>
      </c>
      <c r="O227" s="817"/>
      <c r="P227" s="563">
        <v>27</v>
      </c>
      <c r="Q227" s="564">
        <v>1.09E-2</v>
      </c>
      <c r="R227" s="565">
        <v>1</v>
      </c>
    </row>
    <row r="228" spans="2:18" ht="24.75" customHeight="1" x14ac:dyDescent="0.25">
      <c r="B228" s="809">
        <v>37204118</v>
      </c>
      <c r="C228" s="809"/>
      <c r="D228" s="824" t="s">
        <v>456</v>
      </c>
      <c r="E228" s="824"/>
      <c r="F228" s="824"/>
      <c r="G228" s="809" t="s">
        <v>457</v>
      </c>
      <c r="H228" s="741" t="s">
        <v>309</v>
      </c>
      <c r="I228" s="741"/>
      <c r="J228" s="809">
        <v>3</v>
      </c>
      <c r="K228" s="809">
        <f>VLOOKUP(B228,[2]Hoja2!Q:R,2,FALSE)</f>
        <v>44</v>
      </c>
      <c r="L228" s="818" t="s">
        <v>447</v>
      </c>
      <c r="M228" s="818"/>
      <c r="N228" s="818" t="s">
        <v>293</v>
      </c>
      <c r="O228" s="818"/>
      <c r="P228" s="818">
        <v>4.5</v>
      </c>
      <c r="Q228" s="821">
        <v>1.8E-3</v>
      </c>
      <c r="R228" s="809">
        <v>1</v>
      </c>
    </row>
    <row r="229" spans="2:18" ht="21.75" customHeight="1" thickBot="1" x14ac:dyDescent="0.3">
      <c r="B229" s="810"/>
      <c r="C229" s="810"/>
      <c r="D229" s="825"/>
      <c r="E229" s="825"/>
      <c r="F229" s="825"/>
      <c r="G229" s="810"/>
      <c r="H229" s="746"/>
      <c r="I229" s="746"/>
      <c r="J229" s="810"/>
      <c r="K229" s="810"/>
      <c r="L229" s="817" t="s">
        <v>458</v>
      </c>
      <c r="M229" s="817"/>
      <c r="N229" s="817" t="s">
        <v>305</v>
      </c>
      <c r="O229" s="817"/>
      <c r="P229" s="817"/>
      <c r="Q229" s="827"/>
      <c r="R229" s="810"/>
    </row>
    <row r="230" spans="2:18" ht="15" customHeight="1" x14ac:dyDescent="0.25">
      <c r="B230" s="809">
        <v>37204114</v>
      </c>
      <c r="C230" s="809"/>
      <c r="D230" s="824" t="s">
        <v>459</v>
      </c>
      <c r="E230" s="824"/>
      <c r="F230" s="824"/>
      <c r="G230" s="809" t="s">
        <v>330</v>
      </c>
      <c r="H230" s="741" t="s">
        <v>309</v>
      </c>
      <c r="I230" s="741"/>
      <c r="J230" s="809">
        <v>3</v>
      </c>
      <c r="K230" s="809">
        <f>VLOOKUP(B230,[2]Hoja2!Q:R,2,FALSE)</f>
        <v>45</v>
      </c>
      <c r="L230" s="818" t="s">
        <v>437</v>
      </c>
      <c r="M230" s="818"/>
      <c r="N230" s="818" t="s">
        <v>336</v>
      </c>
      <c r="O230" s="818"/>
      <c r="P230" s="818">
        <v>274.5</v>
      </c>
      <c r="Q230" s="821">
        <v>0.1105</v>
      </c>
      <c r="R230" s="809">
        <v>1</v>
      </c>
    </row>
    <row r="231" spans="2:18" ht="15.75" thickBot="1" x14ac:dyDescent="0.3">
      <c r="B231" s="810"/>
      <c r="C231" s="810"/>
      <c r="D231" s="825"/>
      <c r="E231" s="825"/>
      <c r="F231" s="825"/>
      <c r="G231" s="810"/>
      <c r="H231" s="746"/>
      <c r="I231" s="746"/>
      <c r="J231" s="810"/>
      <c r="K231" s="810"/>
      <c r="L231" s="817"/>
      <c r="M231" s="817"/>
      <c r="N231" s="817"/>
      <c r="O231" s="817"/>
      <c r="P231" s="828"/>
      <c r="Q231" s="826"/>
      <c r="R231" s="819"/>
    </row>
    <row r="232" spans="2:18" ht="28.5" customHeight="1" x14ac:dyDescent="0.25">
      <c r="B232" s="741">
        <v>37204127</v>
      </c>
      <c r="C232" s="741"/>
      <c r="D232" s="824" t="s">
        <v>460</v>
      </c>
      <c r="E232" s="824"/>
      <c r="F232" s="824"/>
      <c r="G232" s="809" t="s">
        <v>330</v>
      </c>
      <c r="H232" s="741" t="s">
        <v>309</v>
      </c>
      <c r="I232" s="741"/>
      <c r="J232" s="809">
        <v>6</v>
      </c>
      <c r="K232" s="809">
        <f>VLOOKUP(B232,[2]Hoja2!Q:R,2,FALSE)</f>
        <v>29</v>
      </c>
      <c r="L232" s="818" t="s">
        <v>389</v>
      </c>
      <c r="M232" s="818"/>
      <c r="N232" s="818" t="s">
        <v>288</v>
      </c>
      <c r="O232" s="818"/>
      <c r="P232" s="555">
        <v>81</v>
      </c>
      <c r="Q232" s="556">
        <v>3.2599999999999997E-2</v>
      </c>
      <c r="R232" s="557">
        <v>1</v>
      </c>
    </row>
    <row r="233" spans="2:18" ht="27.75" customHeight="1" thickBot="1" x14ac:dyDescent="0.3">
      <c r="B233" s="746"/>
      <c r="C233" s="746"/>
      <c r="D233" s="825"/>
      <c r="E233" s="825"/>
      <c r="F233" s="825"/>
      <c r="G233" s="810"/>
      <c r="H233" s="746"/>
      <c r="I233" s="746"/>
      <c r="J233" s="810"/>
      <c r="K233" s="810"/>
      <c r="L233" s="817" t="s">
        <v>334</v>
      </c>
      <c r="M233" s="817"/>
      <c r="N233" s="817" t="s">
        <v>288</v>
      </c>
      <c r="O233" s="817"/>
      <c r="P233" s="563">
        <v>103.5</v>
      </c>
      <c r="Q233" s="564">
        <v>4.1700000000000001E-2</v>
      </c>
      <c r="R233" s="565">
        <v>1</v>
      </c>
    </row>
    <row r="234" spans="2:18" ht="27.75" customHeight="1" thickBot="1" x14ac:dyDescent="0.3">
      <c r="B234" s="810">
        <v>37204128</v>
      </c>
      <c r="C234" s="810"/>
      <c r="D234" s="825" t="s">
        <v>461</v>
      </c>
      <c r="E234" s="825"/>
      <c r="F234" s="825"/>
      <c r="G234" s="565" t="s">
        <v>330</v>
      </c>
      <c r="H234" s="746" t="s">
        <v>309</v>
      </c>
      <c r="I234" s="746"/>
      <c r="J234" s="565">
        <v>6</v>
      </c>
      <c r="K234" s="565">
        <f>VLOOKUP(B234,[2]Hoja2!Q:R,2,FALSE)</f>
        <v>30</v>
      </c>
      <c r="L234" s="817" t="s">
        <v>437</v>
      </c>
      <c r="M234" s="817"/>
      <c r="N234" s="817" t="s">
        <v>336</v>
      </c>
      <c r="O234" s="817"/>
      <c r="P234" s="563">
        <v>274.5</v>
      </c>
      <c r="Q234" s="564">
        <v>0.1105</v>
      </c>
      <c r="R234" s="565">
        <v>1</v>
      </c>
    </row>
    <row r="235" spans="2:18" ht="26.25" customHeight="1" thickBot="1" x14ac:dyDescent="0.3">
      <c r="B235" s="810">
        <v>37204129</v>
      </c>
      <c r="C235" s="810"/>
      <c r="D235" s="825" t="s">
        <v>462</v>
      </c>
      <c r="E235" s="825"/>
      <c r="F235" s="825"/>
      <c r="G235" s="565" t="s">
        <v>330</v>
      </c>
      <c r="H235" s="746" t="s">
        <v>309</v>
      </c>
      <c r="I235" s="746"/>
      <c r="J235" s="565">
        <v>6</v>
      </c>
      <c r="K235" s="565">
        <f>VLOOKUP(B235,[2]Hoja2!Q:R,2,FALSE)</f>
        <v>29</v>
      </c>
      <c r="L235" s="817" t="s">
        <v>437</v>
      </c>
      <c r="M235" s="817"/>
      <c r="N235" s="817" t="s">
        <v>336</v>
      </c>
      <c r="O235" s="817"/>
      <c r="P235" s="563">
        <v>274.5</v>
      </c>
      <c r="Q235" s="564">
        <v>0.1105</v>
      </c>
      <c r="R235" s="565">
        <v>1</v>
      </c>
    </row>
    <row r="236" spans="2:18" ht="24" customHeight="1" x14ac:dyDescent="0.25">
      <c r="B236" s="809">
        <v>37204131</v>
      </c>
      <c r="C236" s="809"/>
      <c r="D236" s="824" t="s">
        <v>463</v>
      </c>
      <c r="E236" s="824"/>
      <c r="F236" s="824"/>
      <c r="G236" s="809" t="s">
        <v>330</v>
      </c>
      <c r="H236" s="741" t="s">
        <v>309</v>
      </c>
      <c r="I236" s="741"/>
      <c r="J236" s="809">
        <v>6</v>
      </c>
      <c r="K236" s="809">
        <f>VLOOKUP(B236,[2]Hoja2!Q:R,2,FALSE)</f>
        <v>30</v>
      </c>
      <c r="L236" s="818" t="s">
        <v>400</v>
      </c>
      <c r="M236" s="818"/>
      <c r="N236" s="818" t="s">
        <v>288</v>
      </c>
      <c r="O236" s="818"/>
      <c r="P236" s="555">
        <v>85.5</v>
      </c>
      <c r="Q236" s="556">
        <v>3.44E-2</v>
      </c>
      <c r="R236" s="557">
        <v>1</v>
      </c>
    </row>
    <row r="237" spans="2:18" ht="27" customHeight="1" thickBot="1" x14ac:dyDescent="0.3">
      <c r="B237" s="810"/>
      <c r="C237" s="810"/>
      <c r="D237" s="825"/>
      <c r="E237" s="825"/>
      <c r="F237" s="825"/>
      <c r="G237" s="810"/>
      <c r="H237" s="746"/>
      <c r="I237" s="746"/>
      <c r="J237" s="810"/>
      <c r="K237" s="810"/>
      <c r="L237" s="817" t="s">
        <v>437</v>
      </c>
      <c r="M237" s="817"/>
      <c r="N237" s="817" t="s">
        <v>336</v>
      </c>
      <c r="O237" s="817"/>
      <c r="P237" s="563">
        <v>274.5</v>
      </c>
      <c r="Q237" s="564">
        <v>0.1105</v>
      </c>
      <c r="R237" s="565">
        <v>1</v>
      </c>
    </row>
    <row r="238" spans="2:18" ht="21" customHeight="1" thickBot="1" x14ac:dyDescent="0.3">
      <c r="B238" s="810">
        <v>37204130</v>
      </c>
      <c r="C238" s="810"/>
      <c r="D238" s="825" t="s">
        <v>464</v>
      </c>
      <c r="E238" s="825"/>
      <c r="F238" s="825"/>
      <c r="G238" s="565" t="s">
        <v>330</v>
      </c>
      <c r="H238" s="746" t="s">
        <v>309</v>
      </c>
      <c r="I238" s="746"/>
      <c r="J238" s="565">
        <v>6</v>
      </c>
      <c r="K238" s="565">
        <f>VLOOKUP(B238,[2]Hoja2!Q:R,2,FALSE)</f>
        <v>29</v>
      </c>
      <c r="L238" s="817" t="s">
        <v>388</v>
      </c>
      <c r="M238" s="817"/>
      <c r="N238" s="817" t="s">
        <v>285</v>
      </c>
      <c r="O238" s="817"/>
      <c r="P238" s="563">
        <v>324</v>
      </c>
      <c r="Q238" s="564">
        <v>0.13039999999999999</v>
      </c>
      <c r="R238" s="565">
        <v>1</v>
      </c>
    </row>
    <row r="239" spans="2:18" ht="15" customHeight="1" x14ac:dyDescent="0.25">
      <c r="B239" s="809">
        <v>37204301</v>
      </c>
      <c r="C239" s="809"/>
      <c r="D239" s="824" t="s">
        <v>357</v>
      </c>
      <c r="E239" s="824"/>
      <c r="F239" s="824"/>
      <c r="G239" s="809" t="s">
        <v>330</v>
      </c>
      <c r="H239" s="741" t="s">
        <v>309</v>
      </c>
      <c r="I239" s="741"/>
      <c r="J239" s="809">
        <v>6</v>
      </c>
      <c r="K239" s="809">
        <f>VLOOKUP(B239,[2]Hoja2!Q:R,2,FALSE)</f>
        <v>61</v>
      </c>
      <c r="L239" s="818" t="s">
        <v>388</v>
      </c>
      <c r="M239" s="818"/>
      <c r="N239" s="818" t="s">
        <v>285</v>
      </c>
      <c r="O239" s="818"/>
      <c r="P239" s="555">
        <v>324</v>
      </c>
      <c r="Q239" s="556">
        <v>0.13039999999999999</v>
      </c>
      <c r="R239" s="809">
        <v>1</v>
      </c>
    </row>
    <row r="240" spans="2:18" ht="29.25" customHeight="1" x14ac:dyDescent="0.25">
      <c r="B240" s="809"/>
      <c r="C240" s="809"/>
      <c r="D240" s="824"/>
      <c r="E240" s="824"/>
      <c r="F240" s="824"/>
      <c r="G240" s="809"/>
      <c r="H240" s="741"/>
      <c r="I240" s="741"/>
      <c r="J240" s="809"/>
      <c r="K240" s="809"/>
      <c r="L240" s="818" t="s">
        <v>389</v>
      </c>
      <c r="M240" s="818"/>
      <c r="N240" s="818" t="s">
        <v>288</v>
      </c>
      <c r="O240" s="818"/>
      <c r="P240" s="555">
        <v>81</v>
      </c>
      <c r="Q240" s="556">
        <v>3.2599999999999997E-2</v>
      </c>
      <c r="R240" s="809"/>
    </row>
    <row r="241" spans="2:18" ht="24" customHeight="1" x14ac:dyDescent="0.25">
      <c r="B241" s="809"/>
      <c r="C241" s="809"/>
      <c r="D241" s="824"/>
      <c r="E241" s="824"/>
      <c r="F241" s="824"/>
      <c r="G241" s="809"/>
      <c r="H241" s="741"/>
      <c r="I241" s="741"/>
      <c r="J241" s="809"/>
      <c r="K241" s="809"/>
      <c r="L241" s="818" t="s">
        <v>334</v>
      </c>
      <c r="M241" s="818"/>
      <c r="N241" s="818" t="s">
        <v>288</v>
      </c>
      <c r="O241" s="818"/>
      <c r="P241" s="555">
        <v>103.5</v>
      </c>
      <c r="Q241" s="556">
        <v>4.1700000000000001E-2</v>
      </c>
      <c r="R241" s="809"/>
    </row>
    <row r="242" spans="2:18" ht="21" customHeight="1" thickBot="1" x14ac:dyDescent="0.3">
      <c r="B242" s="810"/>
      <c r="C242" s="810"/>
      <c r="D242" s="825"/>
      <c r="E242" s="825"/>
      <c r="F242" s="825"/>
      <c r="G242" s="810"/>
      <c r="H242" s="746"/>
      <c r="I242" s="746"/>
      <c r="J242" s="810"/>
      <c r="K242" s="810"/>
      <c r="L242" s="817" t="s">
        <v>420</v>
      </c>
      <c r="M242" s="817"/>
      <c r="N242" s="817" t="s">
        <v>285</v>
      </c>
      <c r="O242" s="817"/>
      <c r="P242" s="563">
        <v>63</v>
      </c>
      <c r="Q242" s="564">
        <v>2.5399999999999999E-2</v>
      </c>
      <c r="R242" s="810"/>
    </row>
    <row r="243" spans="2:18" ht="15" customHeight="1" x14ac:dyDescent="0.25">
      <c r="B243" s="809">
        <v>37204223</v>
      </c>
      <c r="C243" s="809"/>
      <c r="D243" s="824" t="s">
        <v>465</v>
      </c>
      <c r="E243" s="824"/>
      <c r="F243" s="824"/>
      <c r="G243" s="809" t="s">
        <v>330</v>
      </c>
      <c r="H243" s="741" t="s">
        <v>353</v>
      </c>
      <c r="I243" s="741"/>
      <c r="J243" s="809">
        <v>6</v>
      </c>
      <c r="K243" s="809">
        <f>VLOOKUP(B243,[2]Hoja2!Q:R,2,FALSE)</f>
        <v>32</v>
      </c>
      <c r="L243" s="818" t="s">
        <v>426</v>
      </c>
      <c r="M243" s="818"/>
      <c r="N243" s="818" t="s">
        <v>305</v>
      </c>
      <c r="O243" s="818"/>
      <c r="P243" s="818">
        <v>207</v>
      </c>
      <c r="Q243" s="821">
        <v>8.3299999999999999E-2</v>
      </c>
      <c r="R243" s="809">
        <v>1</v>
      </c>
    </row>
    <row r="244" spans="2:18" ht="15.75" thickBot="1" x14ac:dyDescent="0.3">
      <c r="B244" s="810"/>
      <c r="C244" s="810"/>
      <c r="D244" s="825"/>
      <c r="E244" s="825"/>
      <c r="F244" s="825"/>
      <c r="G244" s="810"/>
      <c r="H244" s="746"/>
      <c r="I244" s="746"/>
      <c r="J244" s="810"/>
      <c r="K244" s="810" t="e">
        <f>VLOOKUP(B244,[2]Hoja2!$Q$2:$R$55,2)</f>
        <v>#N/A</v>
      </c>
      <c r="L244" s="817"/>
      <c r="M244" s="817"/>
      <c r="N244" s="817"/>
      <c r="O244" s="817"/>
      <c r="P244" s="828"/>
      <c r="Q244" s="826"/>
      <c r="R244" s="819"/>
    </row>
    <row r="245" spans="2:18" ht="31.5" customHeight="1" thickBot="1" x14ac:dyDescent="0.3">
      <c r="B245" s="810">
        <v>37204210</v>
      </c>
      <c r="C245" s="810"/>
      <c r="D245" s="825" t="s">
        <v>466</v>
      </c>
      <c r="E245" s="825"/>
      <c r="F245" s="825"/>
      <c r="G245" s="565" t="s">
        <v>330</v>
      </c>
      <c r="H245" s="746" t="s">
        <v>353</v>
      </c>
      <c r="I245" s="746"/>
      <c r="J245" s="565">
        <v>3</v>
      </c>
      <c r="K245" s="565">
        <f>VLOOKUP(B245,[2]Hoja2!Q:R,2,FALSE)</f>
        <v>37</v>
      </c>
      <c r="L245" s="817" t="s">
        <v>292</v>
      </c>
      <c r="M245" s="817"/>
      <c r="N245" s="817" t="s">
        <v>293</v>
      </c>
      <c r="O245" s="817"/>
      <c r="P245" s="563">
        <v>54</v>
      </c>
      <c r="Q245" s="564">
        <v>2.1700000000000001E-2</v>
      </c>
      <c r="R245" s="565">
        <v>1</v>
      </c>
    </row>
    <row r="246" spans="2:18" ht="27.75" customHeight="1" thickBot="1" x14ac:dyDescent="0.3">
      <c r="B246" s="810">
        <v>37204205</v>
      </c>
      <c r="C246" s="810"/>
      <c r="D246" s="825" t="s">
        <v>467</v>
      </c>
      <c r="E246" s="825"/>
      <c r="F246" s="825"/>
      <c r="G246" s="565" t="s">
        <v>330</v>
      </c>
      <c r="H246" s="746" t="s">
        <v>353</v>
      </c>
      <c r="I246" s="746"/>
      <c r="J246" s="565">
        <v>3</v>
      </c>
      <c r="K246" s="565">
        <f>VLOOKUP(B246,[2]Hoja2!Q:R,2,FALSE)</f>
        <v>30</v>
      </c>
      <c r="L246" s="817" t="s">
        <v>428</v>
      </c>
      <c r="M246" s="817"/>
      <c r="N246" s="817" t="s">
        <v>293</v>
      </c>
      <c r="O246" s="817"/>
      <c r="P246" s="563">
        <v>63</v>
      </c>
      <c r="Q246" s="564">
        <v>2.5399999999999999E-2</v>
      </c>
      <c r="R246" s="565">
        <v>1</v>
      </c>
    </row>
    <row r="247" spans="2:18" ht="23.25" customHeight="1" x14ac:dyDescent="0.25">
      <c r="B247" s="809">
        <v>37204209</v>
      </c>
      <c r="C247" s="809"/>
      <c r="D247" s="824" t="s">
        <v>468</v>
      </c>
      <c r="E247" s="824"/>
      <c r="F247" s="824"/>
      <c r="G247" s="809" t="s">
        <v>330</v>
      </c>
      <c r="H247" s="741" t="s">
        <v>353</v>
      </c>
      <c r="I247" s="741"/>
      <c r="J247" s="809">
        <v>3</v>
      </c>
      <c r="K247" s="809">
        <f>VLOOKUP(B247,[2]Hoja2!Q:R,2,FALSE)</f>
        <v>43</v>
      </c>
      <c r="L247" s="818" t="s">
        <v>1333</v>
      </c>
      <c r="M247" s="818"/>
      <c r="N247" s="818" t="s">
        <v>409</v>
      </c>
      <c r="O247" s="818"/>
      <c r="P247" s="555">
        <v>162</v>
      </c>
      <c r="Q247" s="556">
        <v>6.5199999999999994E-2</v>
      </c>
      <c r="R247" s="809">
        <v>1</v>
      </c>
    </row>
    <row r="248" spans="2:18" ht="21" customHeight="1" thickBot="1" x14ac:dyDescent="0.3">
      <c r="B248" s="810"/>
      <c r="C248" s="810"/>
      <c r="D248" s="825"/>
      <c r="E248" s="825"/>
      <c r="F248" s="825"/>
      <c r="G248" s="810"/>
      <c r="H248" s="746"/>
      <c r="I248" s="746"/>
      <c r="J248" s="810"/>
      <c r="K248" s="810" t="e">
        <f>VLOOKUP(B248,[2]Hoja2!$Q$2:$R$55,2)</f>
        <v>#N/A</v>
      </c>
      <c r="L248" s="817" t="s">
        <v>426</v>
      </c>
      <c r="M248" s="817"/>
      <c r="N248" s="817" t="s">
        <v>305</v>
      </c>
      <c r="O248" s="817"/>
      <c r="P248" s="563">
        <v>207</v>
      </c>
      <c r="Q248" s="564">
        <v>8.3299999999999999E-2</v>
      </c>
      <c r="R248" s="810"/>
    </row>
    <row r="249" spans="2:18" ht="24.75" customHeight="1" thickBot="1" x14ac:dyDescent="0.3">
      <c r="B249" s="865">
        <v>37204206</v>
      </c>
      <c r="C249" s="865"/>
      <c r="D249" s="866" t="s">
        <v>469</v>
      </c>
      <c r="E249" s="866"/>
      <c r="F249" s="866"/>
      <c r="G249" s="558" t="s">
        <v>330</v>
      </c>
      <c r="H249" s="743" t="s">
        <v>353</v>
      </c>
      <c r="I249" s="743"/>
      <c r="J249" s="558">
        <v>3</v>
      </c>
      <c r="K249" s="558">
        <f>VLOOKUP(B249,[2]Hoja2!Q:R,2,FALSE)</f>
        <v>18</v>
      </c>
      <c r="L249" s="864" t="s">
        <v>354</v>
      </c>
      <c r="M249" s="864"/>
      <c r="N249" s="864" t="s">
        <v>336</v>
      </c>
      <c r="O249" s="864"/>
      <c r="P249" s="559">
        <v>45</v>
      </c>
      <c r="Q249" s="560">
        <v>1.8100000000000002E-2</v>
      </c>
      <c r="R249" s="558">
        <v>1</v>
      </c>
    </row>
    <row r="250" spans="2:18" x14ac:dyDescent="0.25">
      <c r="B250" s="832" t="s">
        <v>832</v>
      </c>
      <c r="C250" s="832"/>
    </row>
    <row r="251" spans="2:18" x14ac:dyDescent="0.25">
      <c r="B251" s="833" t="s">
        <v>1334</v>
      </c>
      <c r="C251" s="833"/>
      <c r="D251" s="833"/>
      <c r="E251" s="833"/>
      <c r="F251" s="833"/>
      <c r="G251" s="833"/>
      <c r="H251" s="833"/>
    </row>
    <row r="252" spans="2:18" x14ac:dyDescent="0.25">
      <c r="B252" s="49"/>
      <c r="C252" s="49"/>
      <c r="D252" s="49"/>
      <c r="E252" s="49"/>
      <c r="F252" s="49"/>
      <c r="G252" s="49"/>
      <c r="H252" s="49"/>
    </row>
    <row r="253" spans="2:18" x14ac:dyDescent="0.25">
      <c r="B253" s="44"/>
      <c r="C253" s="44"/>
      <c r="D253" s="44"/>
      <c r="E253" s="44"/>
      <c r="F253" s="44"/>
      <c r="G253" s="44"/>
      <c r="H253" s="44"/>
    </row>
    <row r="254" spans="2:18" x14ac:dyDescent="0.25">
      <c r="B254" s="834" t="s">
        <v>1180</v>
      </c>
      <c r="C254" s="834"/>
      <c r="D254" s="834"/>
      <c r="E254" s="834"/>
      <c r="F254" s="834"/>
      <c r="G254" s="93"/>
      <c r="H254" s="44"/>
    </row>
    <row r="255" spans="2:18" s="86" customFormat="1" ht="31.5" x14ac:dyDescent="0.25">
      <c r="B255" s="704" t="s">
        <v>2</v>
      </c>
      <c r="C255" s="704"/>
      <c r="D255" s="484" t="s">
        <v>273</v>
      </c>
      <c r="E255" s="484" t="s">
        <v>1114</v>
      </c>
      <c r="F255" s="704" t="s">
        <v>1115</v>
      </c>
      <c r="G255" s="704"/>
      <c r="H255" s="667" t="s">
        <v>1116</v>
      </c>
      <c r="I255" s="667"/>
    </row>
    <row r="256" spans="2:18" s="86" customFormat="1" ht="15.75" thickBot="1" x14ac:dyDescent="0.3">
      <c r="B256" s="870" t="s">
        <v>12</v>
      </c>
      <c r="C256" s="870"/>
      <c r="D256" s="29" t="s">
        <v>904</v>
      </c>
      <c r="E256" s="509">
        <f>252/24</f>
        <v>10.5</v>
      </c>
      <c r="F256" s="837">
        <f>4926/60</f>
        <v>82.1</v>
      </c>
      <c r="G256" s="837"/>
      <c r="H256" s="837">
        <f>82.1/(252/24)</f>
        <v>7.8190476190476188</v>
      </c>
      <c r="I256" s="837"/>
    </row>
    <row r="257" spans="2:9" s="86" customFormat="1" ht="15.75" thickBot="1" x14ac:dyDescent="0.3">
      <c r="B257" s="800"/>
      <c r="C257" s="800"/>
      <c r="D257" s="416" t="s">
        <v>684</v>
      </c>
      <c r="E257" s="516">
        <f>252/24</f>
        <v>10.5</v>
      </c>
      <c r="F257" s="836">
        <f>5010/60</f>
        <v>83.5</v>
      </c>
      <c r="G257" s="836"/>
      <c r="H257" s="836">
        <f>83.5/(252/24)</f>
        <v>7.9523809523809526</v>
      </c>
      <c r="I257" s="836"/>
    </row>
    <row r="258" spans="2:9" s="86" customFormat="1" x14ac:dyDescent="0.25">
      <c r="B258" s="871"/>
      <c r="C258" s="871"/>
      <c r="D258" s="567" t="s">
        <v>903</v>
      </c>
      <c r="E258" s="568">
        <v>10.25</v>
      </c>
      <c r="F258" s="838">
        <v>110.5</v>
      </c>
      <c r="G258" s="838"/>
      <c r="H258" s="838">
        <v>10.78</v>
      </c>
      <c r="I258" s="838"/>
    </row>
    <row r="259" spans="2:9" s="86" customFormat="1" ht="15.75" thickBot="1" x14ac:dyDescent="0.3">
      <c r="B259" s="867" t="s">
        <v>13</v>
      </c>
      <c r="C259" s="867"/>
      <c r="D259" s="29" t="s">
        <v>904</v>
      </c>
      <c r="E259" s="509">
        <f>279/24</f>
        <v>11.625</v>
      </c>
      <c r="F259" s="837">
        <f>12912/60</f>
        <v>215.2</v>
      </c>
      <c r="G259" s="837"/>
      <c r="H259" s="837">
        <f>215.2/(279/24)</f>
        <v>18.511827956989247</v>
      </c>
      <c r="I259" s="837"/>
    </row>
    <row r="260" spans="2:9" s="86" customFormat="1" ht="15.75" thickBot="1" x14ac:dyDescent="0.3">
      <c r="B260" s="868"/>
      <c r="C260" s="868"/>
      <c r="D260" s="416" t="s">
        <v>684</v>
      </c>
      <c r="E260" s="516">
        <f>279/24</f>
        <v>11.625</v>
      </c>
      <c r="F260" s="836">
        <f>13717/60</f>
        <v>228.61666666666667</v>
      </c>
      <c r="G260" s="836"/>
      <c r="H260" s="836">
        <f>228.62/(279/24)</f>
        <v>19.666236559139787</v>
      </c>
      <c r="I260" s="836"/>
    </row>
    <row r="261" spans="2:9" s="86" customFormat="1" ht="15.75" thickBot="1" x14ac:dyDescent="0.3">
      <c r="B261" s="869"/>
      <c r="C261" s="869"/>
      <c r="D261" s="30" t="s">
        <v>903</v>
      </c>
      <c r="E261" s="566">
        <f>276/24</f>
        <v>11.5</v>
      </c>
      <c r="F261" s="835">
        <v>226.37</v>
      </c>
      <c r="G261" s="835"/>
      <c r="H261" s="835">
        <f>226.37/(276/24)</f>
        <v>19.684347826086956</v>
      </c>
      <c r="I261" s="835"/>
    </row>
    <row r="262" spans="2:9" ht="17.25" customHeight="1" x14ac:dyDescent="0.25">
      <c r="B262" s="43"/>
      <c r="H262" s="396"/>
      <c r="I262" s="72"/>
    </row>
    <row r="263" spans="2:9" x14ac:dyDescent="0.25">
      <c r="B263" s="41"/>
      <c r="H263" s="396"/>
      <c r="I263" s="72"/>
    </row>
    <row r="264" spans="2:9" x14ac:dyDescent="0.25">
      <c r="B264" s="6" t="s">
        <v>1181</v>
      </c>
      <c r="E264" s="391"/>
      <c r="F264" s="391"/>
      <c r="G264" s="55"/>
      <c r="H264" s="396"/>
      <c r="I264" s="72"/>
    </row>
    <row r="265" spans="2:9" ht="37.5" customHeight="1" x14ac:dyDescent="0.25">
      <c r="B265" s="667" t="s">
        <v>360</v>
      </c>
      <c r="C265" s="667"/>
      <c r="D265" s="667"/>
      <c r="E265" s="667" t="s">
        <v>12</v>
      </c>
      <c r="F265" s="667"/>
      <c r="G265" s="667" t="s">
        <v>13</v>
      </c>
      <c r="H265" s="667"/>
      <c r="I265" s="72"/>
    </row>
    <row r="266" spans="2:9" ht="48.75" customHeight="1" thickBot="1" x14ac:dyDescent="0.3">
      <c r="B266" s="872" t="s">
        <v>1335</v>
      </c>
      <c r="C266" s="872"/>
      <c r="D266" s="872"/>
      <c r="E266" s="874">
        <v>5.44</v>
      </c>
      <c r="F266" s="874"/>
      <c r="G266" s="874">
        <v>5.88</v>
      </c>
      <c r="H266" s="874"/>
    </row>
    <row r="267" spans="2:9" ht="47.25" customHeight="1" thickBot="1" x14ac:dyDescent="0.3">
      <c r="B267" s="872" t="s">
        <v>361</v>
      </c>
      <c r="C267" s="872"/>
      <c r="D267" s="872"/>
      <c r="E267" s="875">
        <v>5.23</v>
      </c>
      <c r="F267" s="875"/>
      <c r="G267" s="875">
        <v>5.81</v>
      </c>
      <c r="H267" s="875"/>
    </row>
    <row r="268" spans="2:9" ht="36" customHeight="1" thickBot="1" x14ac:dyDescent="0.3">
      <c r="B268" s="872" t="s">
        <v>362</v>
      </c>
      <c r="C268" s="872"/>
      <c r="D268" s="872"/>
      <c r="E268" s="875">
        <v>5.08</v>
      </c>
      <c r="F268" s="875"/>
      <c r="G268" s="875">
        <v>5.7</v>
      </c>
      <c r="H268" s="875"/>
    </row>
    <row r="269" spans="2:9" ht="29.25" customHeight="1" thickBot="1" x14ac:dyDescent="0.3">
      <c r="B269" s="872" t="s">
        <v>363</v>
      </c>
      <c r="C269" s="872"/>
      <c r="D269" s="872"/>
      <c r="E269" s="875">
        <v>5.13</v>
      </c>
      <c r="F269" s="875"/>
      <c r="G269" s="875">
        <v>5.64</v>
      </c>
      <c r="H269" s="875"/>
    </row>
    <row r="270" spans="2:9" ht="32.25" customHeight="1" thickBot="1" x14ac:dyDescent="0.3">
      <c r="B270" s="872" t="s">
        <v>364</v>
      </c>
      <c r="C270" s="872"/>
      <c r="D270" s="872"/>
      <c r="E270" s="875">
        <v>5.36</v>
      </c>
      <c r="F270" s="875"/>
      <c r="G270" s="875">
        <v>5.81</v>
      </c>
      <c r="H270" s="875"/>
    </row>
    <row r="271" spans="2:9" ht="32.25" customHeight="1" thickBot="1" x14ac:dyDescent="0.3">
      <c r="B271" s="872" t="s">
        <v>365</v>
      </c>
      <c r="C271" s="872"/>
      <c r="D271" s="872"/>
      <c r="E271" s="875">
        <v>4.93</v>
      </c>
      <c r="F271" s="875"/>
      <c r="G271" s="875">
        <v>5.63</v>
      </c>
      <c r="H271" s="875"/>
    </row>
    <row r="272" spans="2:9" ht="36" customHeight="1" thickBot="1" x14ac:dyDescent="0.3">
      <c r="B272" s="872" t="s">
        <v>366</v>
      </c>
      <c r="C272" s="872"/>
      <c r="D272" s="872"/>
      <c r="E272" s="875">
        <v>5.34</v>
      </c>
      <c r="F272" s="875"/>
      <c r="G272" s="875">
        <v>5.79</v>
      </c>
      <c r="H272" s="875"/>
    </row>
    <row r="273" spans="2:10" ht="33.75" customHeight="1" thickBot="1" x14ac:dyDescent="0.3">
      <c r="B273" s="873" t="s">
        <v>367</v>
      </c>
      <c r="C273" s="873"/>
      <c r="D273" s="873"/>
      <c r="E273" s="875">
        <v>5.52</v>
      </c>
      <c r="F273" s="875"/>
      <c r="G273" s="876">
        <v>6.02</v>
      </c>
      <c r="H273" s="876"/>
    </row>
    <row r="274" spans="2:10" ht="33.75" customHeight="1" thickBot="1" x14ac:dyDescent="0.3">
      <c r="B274" s="872" t="s">
        <v>368</v>
      </c>
      <c r="C274" s="872"/>
      <c r="D274" s="872"/>
      <c r="E274" s="875">
        <v>5.27</v>
      </c>
      <c r="F274" s="875"/>
      <c r="G274" s="875">
        <v>5.75</v>
      </c>
      <c r="H274" s="875"/>
    </row>
    <row r="275" spans="2:10" ht="24.75" customHeight="1" thickBot="1" x14ac:dyDescent="0.3">
      <c r="B275" s="807" t="s">
        <v>369</v>
      </c>
      <c r="C275" s="807"/>
      <c r="D275" s="807"/>
      <c r="E275" s="877">
        <v>5.27</v>
      </c>
      <c r="F275" s="877"/>
      <c r="G275" s="877">
        <v>5.78</v>
      </c>
      <c r="H275" s="877"/>
    </row>
    <row r="276" spans="2:10" x14ac:dyDescent="0.25">
      <c r="B276" s="842" t="s">
        <v>832</v>
      </c>
      <c r="C276" s="842"/>
      <c r="D276" s="398"/>
      <c r="E276" s="398"/>
      <c r="F276" s="398"/>
    </row>
    <row r="277" spans="2:10" x14ac:dyDescent="0.25">
      <c r="B277" s="50" t="s">
        <v>80</v>
      </c>
      <c r="C277" s="50"/>
      <c r="D277" s="50"/>
      <c r="E277" s="398"/>
      <c r="F277" s="398"/>
    </row>
    <row r="278" spans="2:10" x14ac:dyDescent="0.25">
      <c r="B278" s="50"/>
      <c r="C278" s="50"/>
      <c r="D278" s="50"/>
      <c r="E278" s="398"/>
      <c r="F278" s="398"/>
    </row>
    <row r="280" spans="2:10" x14ac:dyDescent="0.25">
      <c r="B280" s="6" t="s">
        <v>1182</v>
      </c>
      <c r="C280" s="6"/>
      <c r="D280" s="6"/>
      <c r="E280" s="6"/>
      <c r="F280" s="6"/>
      <c r="G280" s="6"/>
    </row>
    <row r="281" spans="2:10" x14ac:dyDescent="0.25">
      <c r="B281" s="667" t="s">
        <v>2</v>
      </c>
      <c r="C281" s="667"/>
      <c r="D281" s="667" t="s">
        <v>370</v>
      </c>
      <c r="E281" s="667"/>
      <c r="F281" s="484" t="s">
        <v>7</v>
      </c>
      <c r="G281" s="484" t="s">
        <v>8</v>
      </c>
      <c r="H281" s="484" t="s">
        <v>9</v>
      </c>
      <c r="I281" s="484" t="s">
        <v>10</v>
      </c>
      <c r="J281" s="484" t="s">
        <v>11</v>
      </c>
    </row>
    <row r="282" spans="2:10" ht="21" customHeight="1" thickBot="1" x14ac:dyDescent="0.3">
      <c r="B282" s="879" t="s">
        <v>12</v>
      </c>
      <c r="C282" s="879"/>
      <c r="D282" s="880" t="s">
        <v>369</v>
      </c>
      <c r="E282" s="880"/>
      <c r="F282" s="570">
        <v>5.98</v>
      </c>
      <c r="G282" s="570">
        <v>5.41</v>
      </c>
      <c r="H282" s="570">
        <v>5.62</v>
      </c>
      <c r="I282" s="570">
        <v>5.51</v>
      </c>
      <c r="J282" s="570">
        <v>5.27</v>
      </c>
    </row>
    <row r="283" spans="2:10" ht="15.75" thickBot="1" x14ac:dyDescent="0.3">
      <c r="B283" s="869" t="s">
        <v>13</v>
      </c>
      <c r="C283" s="869"/>
      <c r="D283" s="881"/>
      <c r="E283" s="881"/>
      <c r="F283" s="569">
        <v>5.82</v>
      </c>
      <c r="G283" s="569">
        <v>5.56</v>
      </c>
      <c r="H283" s="569">
        <v>5.78</v>
      </c>
      <c r="I283" s="569">
        <v>5.84</v>
      </c>
      <c r="J283" s="569">
        <v>5.78</v>
      </c>
    </row>
    <row r="284" spans="2:10" x14ac:dyDescent="0.25">
      <c r="B284" s="832" t="s">
        <v>832</v>
      </c>
      <c r="C284" s="832"/>
      <c r="D284" s="398"/>
      <c r="E284" s="398"/>
      <c r="F284" s="398"/>
      <c r="G284" s="398"/>
      <c r="H284" s="398"/>
      <c r="I284" s="398"/>
    </row>
    <row r="285" spans="2:10" x14ac:dyDescent="0.25">
      <c r="B285" s="50" t="s">
        <v>80</v>
      </c>
      <c r="C285" s="398"/>
      <c r="D285" s="398"/>
      <c r="E285" s="398"/>
      <c r="F285" s="398"/>
      <c r="G285" s="398"/>
      <c r="H285" s="398"/>
      <c r="I285" s="398"/>
    </row>
    <row r="286" spans="2:10" x14ac:dyDescent="0.25">
      <c r="B286" s="50"/>
      <c r="C286" s="50"/>
      <c r="D286" s="50"/>
      <c r="E286" s="50"/>
      <c r="F286" s="50"/>
    </row>
    <row r="287" spans="2:10" x14ac:dyDescent="0.25">
      <c r="B287" s="50"/>
      <c r="C287" s="50"/>
      <c r="D287" s="50"/>
      <c r="E287" s="50"/>
      <c r="F287" s="50"/>
    </row>
    <row r="288" spans="2:10" x14ac:dyDescent="0.25">
      <c r="B288" s="399" t="s">
        <v>371</v>
      </c>
      <c r="C288" s="50"/>
      <c r="D288" s="50"/>
      <c r="E288" s="50"/>
      <c r="F288" s="50"/>
    </row>
    <row r="289" spans="2:12" x14ac:dyDescent="0.25">
      <c r="B289" s="51"/>
      <c r="C289" s="50"/>
      <c r="D289" s="50"/>
      <c r="E289" s="50"/>
      <c r="F289" s="50"/>
    </row>
    <row r="290" spans="2:12" x14ac:dyDescent="0.25">
      <c r="B290" s="6" t="s">
        <v>1280</v>
      </c>
      <c r="D290" s="398"/>
      <c r="E290" s="398"/>
    </row>
    <row r="291" spans="2:12" s="398" customFormat="1" x14ac:dyDescent="0.25">
      <c r="B291" s="666" t="s">
        <v>372</v>
      </c>
      <c r="C291" s="666" t="s">
        <v>373</v>
      </c>
      <c r="D291" s="666"/>
      <c r="E291" s="666"/>
      <c r="F291" s="666" t="s">
        <v>374</v>
      </c>
      <c r="G291" s="666" t="s">
        <v>375</v>
      </c>
      <c r="H291" s="666" t="s">
        <v>376</v>
      </c>
      <c r="I291" s="667" t="s">
        <v>12</v>
      </c>
      <c r="J291" s="667"/>
      <c r="K291" s="667" t="s">
        <v>13</v>
      </c>
      <c r="L291" s="667"/>
    </row>
    <row r="292" spans="2:12" s="398" customFormat="1" x14ac:dyDescent="0.25">
      <c r="B292" s="667"/>
      <c r="C292" s="667"/>
      <c r="D292" s="667"/>
      <c r="E292" s="667"/>
      <c r="F292" s="667"/>
      <c r="G292" s="667"/>
      <c r="H292" s="667"/>
      <c r="I292" s="667" t="s">
        <v>1336</v>
      </c>
      <c r="J292" s="667"/>
      <c r="K292" s="667" t="s">
        <v>1336</v>
      </c>
      <c r="L292" s="667"/>
    </row>
    <row r="293" spans="2:12" s="398" customFormat="1" ht="26.25" customHeight="1" thickBot="1" x14ac:dyDescent="0.3">
      <c r="B293" s="577" t="s">
        <v>1277</v>
      </c>
      <c r="C293" s="882" t="s">
        <v>1274</v>
      </c>
      <c r="D293" s="882"/>
      <c r="E293" s="882"/>
      <c r="F293" s="573">
        <v>5</v>
      </c>
      <c r="G293" s="574">
        <v>43739</v>
      </c>
      <c r="H293" s="574">
        <v>44043</v>
      </c>
      <c r="I293" s="878">
        <v>1</v>
      </c>
      <c r="J293" s="878"/>
      <c r="K293" s="859">
        <v>0</v>
      </c>
      <c r="L293" s="859"/>
    </row>
    <row r="294" spans="2:12" s="398" customFormat="1" ht="29.25" customHeight="1" thickBot="1" x14ac:dyDescent="0.3">
      <c r="B294" s="499" t="s">
        <v>1278</v>
      </c>
      <c r="C294" s="830" t="s">
        <v>1275</v>
      </c>
      <c r="D294" s="830"/>
      <c r="E294" s="830"/>
      <c r="F294" s="575">
        <v>2</v>
      </c>
      <c r="G294" s="576">
        <v>43794</v>
      </c>
      <c r="H294" s="576">
        <v>43794</v>
      </c>
      <c r="I294" s="886">
        <v>1</v>
      </c>
      <c r="J294" s="886"/>
      <c r="K294" s="885">
        <v>0</v>
      </c>
      <c r="L294" s="885"/>
    </row>
    <row r="295" spans="2:12" s="398" customFormat="1" ht="29.25" customHeight="1" thickBot="1" x14ac:dyDescent="0.3">
      <c r="B295" s="508" t="s">
        <v>1279</v>
      </c>
      <c r="C295" s="831" t="s">
        <v>1276</v>
      </c>
      <c r="D295" s="831"/>
      <c r="E295" s="831"/>
      <c r="F295" s="571">
        <v>5</v>
      </c>
      <c r="G295" s="572">
        <v>43892</v>
      </c>
      <c r="H295" s="572">
        <v>43917</v>
      </c>
      <c r="I295" s="812">
        <v>1</v>
      </c>
      <c r="J295" s="812"/>
      <c r="K295" s="814">
        <v>0</v>
      </c>
      <c r="L295" s="814"/>
    </row>
    <row r="296" spans="2:12" x14ac:dyDescent="0.25">
      <c r="B296" s="832" t="s">
        <v>832</v>
      </c>
      <c r="C296" s="832"/>
      <c r="D296" s="52"/>
      <c r="E296" s="53"/>
      <c r="F296" s="53"/>
      <c r="G296" s="53"/>
      <c r="H296" s="54"/>
    </row>
    <row r="297" spans="2:12" x14ac:dyDescent="0.25">
      <c r="B297" s="50" t="s">
        <v>80</v>
      </c>
    </row>
    <row r="298" spans="2:12" x14ac:dyDescent="0.25">
      <c r="B298" s="50"/>
    </row>
    <row r="299" spans="2:12" x14ac:dyDescent="0.25">
      <c r="H299" s="6"/>
    </row>
    <row r="300" spans="2:12" x14ac:dyDescent="0.25">
      <c r="B300" s="829" t="s">
        <v>1183</v>
      </c>
      <c r="C300" s="829"/>
      <c r="D300" s="829"/>
      <c r="E300" s="829"/>
      <c r="F300" s="829"/>
      <c r="G300" s="829"/>
      <c r="H300" s="55"/>
    </row>
    <row r="301" spans="2:12" ht="15" customHeight="1" x14ac:dyDescent="0.25">
      <c r="B301" s="483" t="s">
        <v>377</v>
      </c>
      <c r="C301" s="666" t="s">
        <v>378</v>
      </c>
      <c r="D301" s="666"/>
      <c r="E301" s="483" t="s">
        <v>379</v>
      </c>
      <c r="F301" s="483" t="s">
        <v>380</v>
      </c>
      <c r="G301" s="666" t="s">
        <v>381</v>
      </c>
      <c r="H301" s="666"/>
      <c r="I301" s="666" t="s">
        <v>382</v>
      </c>
      <c r="J301" s="666"/>
    </row>
    <row r="302" spans="2:12" ht="15.75" thickBot="1" x14ac:dyDescent="0.3">
      <c r="B302" s="578" t="s">
        <v>903</v>
      </c>
      <c r="C302" s="884" t="s">
        <v>64</v>
      </c>
      <c r="D302" s="884"/>
      <c r="E302" s="578" t="s">
        <v>64</v>
      </c>
      <c r="F302" s="578" t="s">
        <v>64</v>
      </c>
      <c r="G302" s="884" t="s">
        <v>64</v>
      </c>
      <c r="H302" s="884"/>
      <c r="I302" s="884" t="s">
        <v>64</v>
      </c>
      <c r="J302" s="884"/>
    </row>
    <row r="303" spans="2:12" s="86" customFormat="1" x14ac:dyDescent="0.25">
      <c r="B303" s="832" t="s">
        <v>832</v>
      </c>
      <c r="C303" s="832"/>
      <c r="D303" s="91"/>
      <c r="E303" s="91"/>
      <c r="F303" s="91"/>
      <c r="G303" s="90"/>
    </row>
    <row r="304" spans="2:12" x14ac:dyDescent="0.25">
      <c r="B304" s="50" t="s">
        <v>80</v>
      </c>
      <c r="C304" s="52"/>
      <c r="D304" s="53"/>
      <c r="E304" s="53"/>
      <c r="F304" s="53"/>
      <c r="G304" s="52"/>
    </row>
    <row r="305" spans="2:10" s="86" customFormat="1" x14ac:dyDescent="0.25">
      <c r="B305" s="50"/>
      <c r="C305" s="52"/>
      <c r="D305" s="53"/>
      <c r="E305" s="53"/>
      <c r="F305" s="53"/>
      <c r="G305" s="52"/>
    </row>
    <row r="306" spans="2:10" x14ac:dyDescent="0.25">
      <c r="B306" s="50"/>
    </row>
    <row r="307" spans="2:10" x14ac:dyDescent="0.25">
      <c r="B307" s="580" t="s">
        <v>1184</v>
      </c>
      <c r="C307" s="580"/>
      <c r="D307" s="580"/>
      <c r="E307" s="580"/>
      <c r="F307" s="580"/>
      <c r="G307" s="580"/>
      <c r="H307" s="55"/>
    </row>
    <row r="308" spans="2:10" x14ac:dyDescent="0.25">
      <c r="B308" s="483" t="s">
        <v>383</v>
      </c>
      <c r="C308" s="483" t="s">
        <v>379</v>
      </c>
      <c r="D308" s="483" t="s">
        <v>380</v>
      </c>
      <c r="E308" s="666" t="s">
        <v>384</v>
      </c>
      <c r="F308" s="666"/>
      <c r="G308" s="666" t="s">
        <v>385</v>
      </c>
      <c r="H308" s="666"/>
      <c r="I308" s="666" t="s">
        <v>386</v>
      </c>
      <c r="J308" s="666"/>
    </row>
    <row r="309" spans="2:10" ht="15.75" thickBot="1" x14ac:dyDescent="0.3">
      <c r="B309" s="581" t="s">
        <v>64</v>
      </c>
      <c r="C309" s="581" t="s">
        <v>64</v>
      </c>
      <c r="D309" s="581" t="s">
        <v>64</v>
      </c>
      <c r="E309" s="883" t="s">
        <v>64</v>
      </c>
      <c r="F309" s="883"/>
      <c r="G309" s="884" t="s">
        <v>64</v>
      </c>
      <c r="H309" s="884"/>
      <c r="I309" s="884" t="s">
        <v>64</v>
      </c>
      <c r="J309" s="884"/>
    </row>
    <row r="310" spans="2:10" s="86" customFormat="1" x14ac:dyDescent="0.25">
      <c r="B310" s="832" t="s">
        <v>832</v>
      </c>
      <c r="C310" s="832"/>
      <c r="D310" s="91"/>
      <c r="E310" s="91"/>
      <c r="F310" s="90"/>
      <c r="G310" s="92"/>
    </row>
    <row r="311" spans="2:10" x14ac:dyDescent="0.25">
      <c r="B311" s="50" t="s">
        <v>80</v>
      </c>
      <c r="C311" s="50"/>
    </row>
  </sheetData>
  <mergeCells count="936">
    <mergeCell ref="E308:F308"/>
    <mergeCell ref="E309:F309"/>
    <mergeCell ref="G309:H309"/>
    <mergeCell ref="G308:H308"/>
    <mergeCell ref="I308:J308"/>
    <mergeCell ref="I309:J309"/>
    <mergeCell ref="B310:C310"/>
    <mergeCell ref="K295:L295"/>
    <mergeCell ref="K294:L294"/>
    <mergeCell ref="I295:J295"/>
    <mergeCell ref="I294:J294"/>
    <mergeCell ref="C302:D302"/>
    <mergeCell ref="C301:D301"/>
    <mergeCell ref="G302:H302"/>
    <mergeCell ref="G301:H301"/>
    <mergeCell ref="I301:J301"/>
    <mergeCell ref="I302:J302"/>
    <mergeCell ref="B303:C303"/>
    <mergeCell ref="K293:L293"/>
    <mergeCell ref="I293:J293"/>
    <mergeCell ref="K292:L292"/>
    <mergeCell ref="K291:L291"/>
    <mergeCell ref="I292:J292"/>
    <mergeCell ref="I291:J291"/>
    <mergeCell ref="B276:C276"/>
    <mergeCell ref="B283:C283"/>
    <mergeCell ref="B282:C282"/>
    <mergeCell ref="D282:E283"/>
    <mergeCell ref="D281:E281"/>
    <mergeCell ref="B281:C281"/>
    <mergeCell ref="B284:C284"/>
    <mergeCell ref="C293:E293"/>
    <mergeCell ref="C291:E292"/>
    <mergeCell ref="G273:H273"/>
    <mergeCell ref="G274:H274"/>
    <mergeCell ref="G275:H275"/>
    <mergeCell ref="E275:F275"/>
    <mergeCell ref="E274:F274"/>
    <mergeCell ref="E273:F273"/>
    <mergeCell ref="E270:F270"/>
    <mergeCell ref="E269:F269"/>
    <mergeCell ref="E268:F268"/>
    <mergeCell ref="G265:H265"/>
    <mergeCell ref="G266:H266"/>
    <mergeCell ref="G267:H267"/>
    <mergeCell ref="G268:H268"/>
    <mergeCell ref="G269:H269"/>
    <mergeCell ref="G270:H270"/>
    <mergeCell ref="G272:H272"/>
    <mergeCell ref="G271:H271"/>
    <mergeCell ref="E272:F272"/>
    <mergeCell ref="E271:F271"/>
    <mergeCell ref="E267:F267"/>
    <mergeCell ref="E266:F266"/>
    <mergeCell ref="E265:F265"/>
    <mergeCell ref="B274:D274"/>
    <mergeCell ref="B273:D273"/>
    <mergeCell ref="B272:D272"/>
    <mergeCell ref="B271:D271"/>
    <mergeCell ref="B270:D270"/>
    <mergeCell ref="B269:D269"/>
    <mergeCell ref="B268:D268"/>
    <mergeCell ref="B267:D267"/>
    <mergeCell ref="B266:D266"/>
    <mergeCell ref="B250:C250"/>
    <mergeCell ref="B259:C261"/>
    <mergeCell ref="B256:C258"/>
    <mergeCell ref="B255:C255"/>
    <mergeCell ref="F261:G261"/>
    <mergeCell ref="F259:G259"/>
    <mergeCell ref="F260:G260"/>
    <mergeCell ref="F257:G257"/>
    <mergeCell ref="F258:G258"/>
    <mergeCell ref="F256:G256"/>
    <mergeCell ref="F255:G255"/>
    <mergeCell ref="B249:C249"/>
    <mergeCell ref="B247:C248"/>
    <mergeCell ref="B246:C246"/>
    <mergeCell ref="B245:C245"/>
    <mergeCell ref="B243:C244"/>
    <mergeCell ref="B239:C242"/>
    <mergeCell ref="D238:F238"/>
    <mergeCell ref="B238:C238"/>
    <mergeCell ref="D249:F249"/>
    <mergeCell ref="H249:I249"/>
    <mergeCell ref="H247:I248"/>
    <mergeCell ref="H246:I246"/>
    <mergeCell ref="H245:I245"/>
    <mergeCell ref="H243:I244"/>
    <mergeCell ref="H239:I242"/>
    <mergeCell ref="H238:I238"/>
    <mergeCell ref="D247:F248"/>
    <mergeCell ref="D245:F245"/>
    <mergeCell ref="D246:F246"/>
    <mergeCell ref="D243:F244"/>
    <mergeCell ref="D239:F242"/>
    <mergeCell ref="G247:G248"/>
    <mergeCell ref="N242:O242"/>
    <mergeCell ref="N243:O244"/>
    <mergeCell ref="N241:O241"/>
    <mergeCell ref="N240:O240"/>
    <mergeCell ref="L241:M241"/>
    <mergeCell ref="L242:M242"/>
    <mergeCell ref="L240:M240"/>
    <mergeCell ref="N238:O238"/>
    <mergeCell ref="N239:O239"/>
    <mergeCell ref="L238:M238"/>
    <mergeCell ref="L239:M239"/>
    <mergeCell ref="L249:M249"/>
    <mergeCell ref="L248:M248"/>
    <mergeCell ref="L247:M247"/>
    <mergeCell ref="L246:M246"/>
    <mergeCell ref="L245:M245"/>
    <mergeCell ref="L243:M244"/>
    <mergeCell ref="N249:O249"/>
    <mergeCell ref="N248:O248"/>
    <mergeCell ref="N247:O247"/>
    <mergeCell ref="N246:O246"/>
    <mergeCell ref="N245:O245"/>
    <mergeCell ref="D236:F237"/>
    <mergeCell ref="D235:F235"/>
    <mergeCell ref="D234:F234"/>
    <mergeCell ref="D232:F233"/>
    <mergeCell ref="D230:F231"/>
    <mergeCell ref="B236:C237"/>
    <mergeCell ref="B234:C234"/>
    <mergeCell ref="B235:C235"/>
    <mergeCell ref="B232:C233"/>
    <mergeCell ref="B230:C231"/>
    <mergeCell ref="N230:O231"/>
    <mergeCell ref="N229:O229"/>
    <mergeCell ref="L237:M237"/>
    <mergeCell ref="L236:M236"/>
    <mergeCell ref="L235:M235"/>
    <mergeCell ref="L234:M234"/>
    <mergeCell ref="L233:M233"/>
    <mergeCell ref="L232:M232"/>
    <mergeCell ref="L230:M231"/>
    <mergeCell ref="L229:M229"/>
    <mergeCell ref="D223:F224"/>
    <mergeCell ref="D222:F222"/>
    <mergeCell ref="D221:F221"/>
    <mergeCell ref="D220:F220"/>
    <mergeCell ref="D219:F219"/>
    <mergeCell ref="B227:C227"/>
    <mergeCell ref="B225:C226"/>
    <mergeCell ref="B223:C224"/>
    <mergeCell ref="B222:C222"/>
    <mergeCell ref="B221:C221"/>
    <mergeCell ref="B220:C220"/>
    <mergeCell ref="B219:C219"/>
    <mergeCell ref="D227:F227"/>
    <mergeCell ref="D225:F226"/>
    <mergeCell ref="H219:I219"/>
    <mergeCell ref="H227:I227"/>
    <mergeCell ref="H225:I226"/>
    <mergeCell ref="H223:I224"/>
    <mergeCell ref="H222:I222"/>
    <mergeCell ref="H221:I221"/>
    <mergeCell ref="H220:I220"/>
    <mergeCell ref="N227:O227"/>
    <mergeCell ref="N225:O226"/>
    <mergeCell ref="N224:O224"/>
    <mergeCell ref="N223:O223"/>
    <mergeCell ref="N222:O222"/>
    <mergeCell ref="N221:O221"/>
    <mergeCell ref="N220:O220"/>
    <mergeCell ref="N219:O219"/>
    <mergeCell ref="L227:M227"/>
    <mergeCell ref="L225:M226"/>
    <mergeCell ref="L223:M223"/>
    <mergeCell ref="L224:M224"/>
    <mergeCell ref="L222:M222"/>
    <mergeCell ref="L221:M221"/>
    <mergeCell ref="L220:M220"/>
    <mergeCell ref="L219:M219"/>
    <mergeCell ref="H217:I218"/>
    <mergeCell ref="H216:I216"/>
    <mergeCell ref="H210:I215"/>
    <mergeCell ref="D217:F218"/>
    <mergeCell ref="B217:C218"/>
    <mergeCell ref="D216:F216"/>
    <mergeCell ref="B216:C216"/>
    <mergeCell ref="D210:F215"/>
    <mergeCell ref="B210:C215"/>
    <mergeCell ref="N212:O212"/>
    <mergeCell ref="L218:M218"/>
    <mergeCell ref="L217:M217"/>
    <mergeCell ref="L216:M216"/>
    <mergeCell ref="L215:M215"/>
    <mergeCell ref="L214:M214"/>
    <mergeCell ref="L213:M213"/>
    <mergeCell ref="L212:M212"/>
    <mergeCell ref="L210:M211"/>
    <mergeCell ref="D204:F209"/>
    <mergeCell ref="D202:F203"/>
    <mergeCell ref="D200:F201"/>
    <mergeCell ref="D198:F199"/>
    <mergeCell ref="B204:C209"/>
    <mergeCell ref="B202:C203"/>
    <mergeCell ref="B200:C201"/>
    <mergeCell ref="B198:C199"/>
    <mergeCell ref="N210:O211"/>
    <mergeCell ref="N209:O209"/>
    <mergeCell ref="L209:M209"/>
    <mergeCell ref="H190:I190"/>
    <mergeCell ref="D197:F197"/>
    <mergeCell ref="D196:F196"/>
    <mergeCell ref="D195:F195"/>
    <mergeCell ref="D194:F194"/>
    <mergeCell ref="D193:F193"/>
    <mergeCell ref="D192:F192"/>
    <mergeCell ref="D191:F191"/>
    <mergeCell ref="N190:O190"/>
    <mergeCell ref="L197:M197"/>
    <mergeCell ref="L196:M196"/>
    <mergeCell ref="L195:M195"/>
    <mergeCell ref="L194:M194"/>
    <mergeCell ref="L193:M193"/>
    <mergeCell ref="L192:M192"/>
    <mergeCell ref="L191:M191"/>
    <mergeCell ref="L190:M190"/>
    <mergeCell ref="N196:O196"/>
    <mergeCell ref="N191:O191"/>
    <mergeCell ref="N197:O197"/>
    <mergeCell ref="N195:O195"/>
    <mergeCell ref="N194:O194"/>
    <mergeCell ref="N193:O193"/>
    <mergeCell ref="N192:O192"/>
    <mergeCell ref="B197:C197"/>
    <mergeCell ref="B196:C196"/>
    <mergeCell ref="B195:C195"/>
    <mergeCell ref="B194:C194"/>
    <mergeCell ref="B193:C193"/>
    <mergeCell ref="B192:C192"/>
    <mergeCell ref="B191:C191"/>
    <mergeCell ref="H197:I197"/>
    <mergeCell ref="H196:I196"/>
    <mergeCell ref="H195:I195"/>
    <mergeCell ref="H194:I194"/>
    <mergeCell ref="H193:I193"/>
    <mergeCell ref="H192:I192"/>
    <mergeCell ref="H191:I191"/>
    <mergeCell ref="B188:C188"/>
    <mergeCell ref="B186:C187"/>
    <mergeCell ref="B185:C185"/>
    <mergeCell ref="B184:C184"/>
    <mergeCell ref="B182:C183"/>
    <mergeCell ref="B181:C181"/>
    <mergeCell ref="B180:C180"/>
    <mergeCell ref="D190:F190"/>
    <mergeCell ref="B190:C190"/>
    <mergeCell ref="B189:C189"/>
    <mergeCell ref="H188:I188"/>
    <mergeCell ref="H186:I187"/>
    <mergeCell ref="H185:I185"/>
    <mergeCell ref="H184:I184"/>
    <mergeCell ref="H182:I183"/>
    <mergeCell ref="H181:I181"/>
    <mergeCell ref="H180:I180"/>
    <mergeCell ref="D189:F189"/>
    <mergeCell ref="D188:F188"/>
    <mergeCell ref="D186:F187"/>
    <mergeCell ref="D185:F185"/>
    <mergeCell ref="D184:F184"/>
    <mergeCell ref="D182:F183"/>
    <mergeCell ref="D181:F181"/>
    <mergeCell ref="D180:F180"/>
    <mergeCell ref="H189:I189"/>
    <mergeCell ref="N180:O180"/>
    <mergeCell ref="L189:M189"/>
    <mergeCell ref="L188:M188"/>
    <mergeCell ref="L187:M187"/>
    <mergeCell ref="L186:M186"/>
    <mergeCell ref="L185:M185"/>
    <mergeCell ref="L184:M184"/>
    <mergeCell ref="L183:M183"/>
    <mergeCell ref="L181:M181"/>
    <mergeCell ref="L180:M180"/>
    <mergeCell ref="N189:O189"/>
    <mergeCell ref="N188:O188"/>
    <mergeCell ref="N187:O187"/>
    <mergeCell ref="N186:O186"/>
    <mergeCell ref="N184:O184"/>
    <mergeCell ref="N185:O185"/>
    <mergeCell ref="N183:O183"/>
    <mergeCell ref="N182:O182"/>
    <mergeCell ref="N181:O181"/>
    <mergeCell ref="D169:F169"/>
    <mergeCell ref="B169:C169"/>
    <mergeCell ref="D167:F168"/>
    <mergeCell ref="B167:C168"/>
    <mergeCell ref="D161:F164"/>
    <mergeCell ref="D165:F166"/>
    <mergeCell ref="B165:C166"/>
    <mergeCell ref="B161:C164"/>
    <mergeCell ref="B178:C179"/>
    <mergeCell ref="B176:C177"/>
    <mergeCell ref="B174:C175"/>
    <mergeCell ref="B172:C173"/>
    <mergeCell ref="D178:F179"/>
    <mergeCell ref="D176:F177"/>
    <mergeCell ref="D174:F175"/>
    <mergeCell ref="D172:F173"/>
    <mergeCell ref="D170:F171"/>
    <mergeCell ref="B170:C171"/>
    <mergeCell ref="N163:O163"/>
    <mergeCell ref="L163:M163"/>
    <mergeCell ref="N162:O162"/>
    <mergeCell ref="L162:M162"/>
    <mergeCell ref="N161:O161"/>
    <mergeCell ref="L161:M161"/>
    <mergeCell ref="H169:I169"/>
    <mergeCell ref="H167:I168"/>
    <mergeCell ref="H165:I166"/>
    <mergeCell ref="H161:I164"/>
    <mergeCell ref="L168:M168"/>
    <mergeCell ref="N167:O167"/>
    <mergeCell ref="L167:M167"/>
    <mergeCell ref="N166:O166"/>
    <mergeCell ref="N165:O165"/>
    <mergeCell ref="L166:M166"/>
    <mergeCell ref="L165:M165"/>
    <mergeCell ref="N164:O164"/>
    <mergeCell ref="L164:M164"/>
    <mergeCell ref="J165:J166"/>
    <mergeCell ref="K165:K166"/>
    <mergeCell ref="N148:O148"/>
    <mergeCell ref="N147:O147"/>
    <mergeCell ref="N146:O146"/>
    <mergeCell ref="B93:R93"/>
    <mergeCell ref="B159:R159"/>
    <mergeCell ref="B160:C160"/>
    <mergeCell ref="D160:F160"/>
    <mergeCell ref="H160:I160"/>
    <mergeCell ref="L160:M160"/>
    <mergeCell ref="N160:O160"/>
    <mergeCell ref="N157:O157"/>
    <mergeCell ref="N156:O156"/>
    <mergeCell ref="N155:O155"/>
    <mergeCell ref="N154:O154"/>
    <mergeCell ref="N153:O153"/>
    <mergeCell ref="N152:O152"/>
    <mergeCell ref="N151:O151"/>
    <mergeCell ref="N150:O150"/>
    <mergeCell ref="N149:O149"/>
    <mergeCell ref="N119:O119"/>
    <mergeCell ref="N118:O118"/>
    <mergeCell ref="N117:O117"/>
    <mergeCell ref="N145:O145"/>
    <mergeCell ref="N144:O144"/>
    <mergeCell ref="N143:O143"/>
    <mergeCell ref="N141:O141"/>
    <mergeCell ref="N142:O142"/>
    <mergeCell ref="N140:O140"/>
    <mergeCell ref="N139:O139"/>
    <mergeCell ref="N138:O138"/>
    <mergeCell ref="N94:O94"/>
    <mergeCell ref="N97:O97"/>
    <mergeCell ref="N95:O95"/>
    <mergeCell ref="N116:O116"/>
    <mergeCell ref="N115:O115"/>
    <mergeCell ref="N114:O114"/>
    <mergeCell ref="N113:O113"/>
    <mergeCell ref="N112:O112"/>
    <mergeCell ref="N111:O111"/>
    <mergeCell ref="N110:O110"/>
    <mergeCell ref="N109:O109"/>
    <mergeCell ref="N108:O108"/>
    <mergeCell ref="N107:O107"/>
    <mergeCell ref="N106:O106"/>
    <mergeCell ref="L139:M139"/>
    <mergeCell ref="L138:M138"/>
    <mergeCell ref="N96:O96"/>
    <mergeCell ref="N105:O105"/>
    <mergeCell ref="N104:O104"/>
    <mergeCell ref="N103:O103"/>
    <mergeCell ref="N102:O102"/>
    <mergeCell ref="N101:O101"/>
    <mergeCell ref="N100:O100"/>
    <mergeCell ref="N98:O98"/>
    <mergeCell ref="N99:O99"/>
    <mergeCell ref="N136:O136"/>
    <mergeCell ref="N137:O137"/>
    <mergeCell ref="N135:O135"/>
    <mergeCell ref="N134:O134"/>
    <mergeCell ref="N133:O133"/>
    <mergeCell ref="N132:O132"/>
    <mergeCell ref="N131:O131"/>
    <mergeCell ref="N130:O130"/>
    <mergeCell ref="N129:O129"/>
    <mergeCell ref="N128:O128"/>
    <mergeCell ref="N127:O127"/>
    <mergeCell ref="N126:O126"/>
    <mergeCell ref="N125:O125"/>
    <mergeCell ref="L148:M148"/>
    <mergeCell ref="L147:M147"/>
    <mergeCell ref="L146:M146"/>
    <mergeCell ref="L145:M145"/>
    <mergeCell ref="L144:M144"/>
    <mergeCell ref="L143:M143"/>
    <mergeCell ref="L142:M142"/>
    <mergeCell ref="L141:M141"/>
    <mergeCell ref="L140:M140"/>
    <mergeCell ref="L156:M156"/>
    <mergeCell ref="L157:M157"/>
    <mergeCell ref="L155:M155"/>
    <mergeCell ref="L154:M154"/>
    <mergeCell ref="L153:M153"/>
    <mergeCell ref="L152:M152"/>
    <mergeCell ref="L151:M151"/>
    <mergeCell ref="L150:M150"/>
    <mergeCell ref="L149:M149"/>
    <mergeCell ref="L94:M94"/>
    <mergeCell ref="L105:M105"/>
    <mergeCell ref="L104:M104"/>
    <mergeCell ref="L103:M103"/>
    <mergeCell ref="L102:M102"/>
    <mergeCell ref="L115:M115"/>
    <mergeCell ref="L114:M114"/>
    <mergeCell ref="L113:M113"/>
    <mergeCell ref="L112:M112"/>
    <mergeCell ref="L111:M111"/>
    <mergeCell ref="L110:M110"/>
    <mergeCell ref="L109:M109"/>
    <mergeCell ref="L108:M108"/>
    <mergeCell ref="L107:M107"/>
    <mergeCell ref="L106:M106"/>
    <mergeCell ref="K149:K157"/>
    <mergeCell ref="J149:J157"/>
    <mergeCell ref="L101:M101"/>
    <mergeCell ref="L100:M100"/>
    <mergeCell ref="L99:M99"/>
    <mergeCell ref="L98:M98"/>
    <mergeCell ref="L97:M97"/>
    <mergeCell ref="L96:M96"/>
    <mergeCell ref="L95:M95"/>
    <mergeCell ref="L128:M128"/>
    <mergeCell ref="L127:M127"/>
    <mergeCell ref="L126:M126"/>
    <mergeCell ref="L125:M125"/>
    <mergeCell ref="L124:M124"/>
    <mergeCell ref="L123:M123"/>
    <mergeCell ref="L122:M122"/>
    <mergeCell ref="L121:M121"/>
    <mergeCell ref="L120:M120"/>
    <mergeCell ref="L119:M119"/>
    <mergeCell ref="L118:M118"/>
    <mergeCell ref="L117:M117"/>
    <mergeCell ref="L116:M116"/>
    <mergeCell ref="L137:M137"/>
    <mergeCell ref="L136:M136"/>
    <mergeCell ref="H149:I157"/>
    <mergeCell ref="J99:J100"/>
    <mergeCell ref="K99:K100"/>
    <mergeCell ref="K111:K113"/>
    <mergeCell ref="J111:J113"/>
    <mergeCell ref="K116:K117"/>
    <mergeCell ref="J116:J117"/>
    <mergeCell ref="K114:K115"/>
    <mergeCell ref="J114:J115"/>
    <mergeCell ref="K120:K121"/>
    <mergeCell ref="J120:J121"/>
    <mergeCell ref="H120:I121"/>
    <mergeCell ref="K127:K128"/>
    <mergeCell ref="J127:J128"/>
    <mergeCell ref="K124:K125"/>
    <mergeCell ref="J124:J125"/>
    <mergeCell ref="K132:K133"/>
    <mergeCell ref="J132:J133"/>
    <mergeCell ref="K130:K131"/>
    <mergeCell ref="J130:J131"/>
    <mergeCell ref="K136:K137"/>
    <mergeCell ref="J136:J137"/>
    <mergeCell ref="K140:K148"/>
    <mergeCell ref="J140:J148"/>
    <mergeCell ref="H126:I126"/>
    <mergeCell ref="H135:I135"/>
    <mergeCell ref="H134:I134"/>
    <mergeCell ref="H132:I133"/>
    <mergeCell ref="H130:I131"/>
    <mergeCell ref="H139:I139"/>
    <mergeCell ref="H138:I138"/>
    <mergeCell ref="H136:I137"/>
    <mergeCell ref="H140:I148"/>
    <mergeCell ref="D139:F139"/>
    <mergeCell ref="D138:F138"/>
    <mergeCell ref="D136:F137"/>
    <mergeCell ref="H99:I100"/>
    <mergeCell ref="H98:I98"/>
    <mergeCell ref="H97:I97"/>
    <mergeCell ref="H96:I96"/>
    <mergeCell ref="H95:I95"/>
    <mergeCell ref="H94:I94"/>
    <mergeCell ref="H104:I104"/>
    <mergeCell ref="H103:I103"/>
    <mergeCell ref="H102:I102"/>
    <mergeCell ref="H101:I101"/>
    <mergeCell ref="H110:I110"/>
    <mergeCell ref="H109:I109"/>
    <mergeCell ref="H107:I107"/>
    <mergeCell ref="H108:I108"/>
    <mergeCell ref="H106:I106"/>
    <mergeCell ref="H105:I105"/>
    <mergeCell ref="H118:I118"/>
    <mergeCell ref="H119:I119"/>
    <mergeCell ref="H116:I117"/>
    <mergeCell ref="H114:I115"/>
    <mergeCell ref="H111:I113"/>
    <mergeCell ref="D96:F96"/>
    <mergeCell ref="D126:F126"/>
    <mergeCell ref="D124:F125"/>
    <mergeCell ref="D123:F123"/>
    <mergeCell ref="D120:F121"/>
    <mergeCell ref="D122:F122"/>
    <mergeCell ref="D119:F119"/>
    <mergeCell ref="D118:F118"/>
    <mergeCell ref="D116:F117"/>
    <mergeCell ref="D114:F115"/>
    <mergeCell ref="D106:F106"/>
    <mergeCell ref="D105:F105"/>
    <mergeCell ref="D104:F104"/>
    <mergeCell ref="D103:F103"/>
    <mergeCell ref="D102:F102"/>
    <mergeCell ref="D101:F101"/>
    <mergeCell ref="D99:F100"/>
    <mergeCell ref="D98:F98"/>
    <mergeCell ref="D97:F97"/>
    <mergeCell ref="B149:C157"/>
    <mergeCell ref="B140:C148"/>
    <mergeCell ref="B139:C139"/>
    <mergeCell ref="B138:C138"/>
    <mergeCell ref="B136:C137"/>
    <mergeCell ref="B135:C135"/>
    <mergeCell ref="B134:C134"/>
    <mergeCell ref="B132:C133"/>
    <mergeCell ref="B130:C131"/>
    <mergeCell ref="B82:D82"/>
    <mergeCell ref="E82:F82"/>
    <mergeCell ref="G82:H82"/>
    <mergeCell ref="M82:N82"/>
    <mergeCell ref="B129:C129"/>
    <mergeCell ref="B127:C128"/>
    <mergeCell ref="B126:C126"/>
    <mergeCell ref="B124:C125"/>
    <mergeCell ref="B123:C123"/>
    <mergeCell ref="B122:C122"/>
    <mergeCell ref="B120:C121"/>
    <mergeCell ref="B119:C119"/>
    <mergeCell ref="B118:C118"/>
    <mergeCell ref="B95:C95"/>
    <mergeCell ref="B94:C94"/>
    <mergeCell ref="B103:C103"/>
    <mergeCell ref="B102:C102"/>
    <mergeCell ref="D95:F95"/>
    <mergeCell ref="D94:F94"/>
    <mergeCell ref="D110:F110"/>
    <mergeCell ref="D111:F113"/>
    <mergeCell ref="D109:F109"/>
    <mergeCell ref="D108:F108"/>
    <mergeCell ref="D107:F107"/>
    <mergeCell ref="E78:F79"/>
    <mergeCell ref="G78:H79"/>
    <mergeCell ref="K78:K79"/>
    <mergeCell ref="L78:L79"/>
    <mergeCell ref="M78:N79"/>
    <mergeCell ref="B80:C81"/>
    <mergeCell ref="E80:F80"/>
    <mergeCell ref="G80:H80"/>
    <mergeCell ref="M80:N80"/>
    <mergeCell ref="E81:F81"/>
    <mergeCell ref="G81:H81"/>
    <mergeCell ref="M81:N81"/>
    <mergeCell ref="I78:I79"/>
    <mergeCell ref="J78:J79"/>
    <mergeCell ref="B76:D76"/>
    <mergeCell ref="E76:F76"/>
    <mergeCell ref="G76:H76"/>
    <mergeCell ref="K72:K73"/>
    <mergeCell ref="I72:I73"/>
    <mergeCell ref="J72:J73"/>
    <mergeCell ref="M72:N73"/>
    <mergeCell ref="M74:N74"/>
    <mergeCell ref="M75:N75"/>
    <mergeCell ref="M76:N76"/>
    <mergeCell ref="G60:H60"/>
    <mergeCell ref="M60:N60"/>
    <mergeCell ref="B61:D61"/>
    <mergeCell ref="E61:F61"/>
    <mergeCell ref="G61:H61"/>
    <mergeCell ref="M61:N61"/>
    <mergeCell ref="B74:C75"/>
    <mergeCell ref="E74:F74"/>
    <mergeCell ref="G74:H74"/>
    <mergeCell ref="E75:F75"/>
    <mergeCell ref="G75:H75"/>
    <mergeCell ref="B67:H67"/>
    <mergeCell ref="B71:G71"/>
    <mergeCell ref="B68:N68"/>
    <mergeCell ref="E72:F73"/>
    <mergeCell ref="G72:H73"/>
    <mergeCell ref="B64:H64"/>
    <mergeCell ref="B59:C60"/>
    <mergeCell ref="E59:F59"/>
    <mergeCell ref="G59:H59"/>
    <mergeCell ref="M59:N59"/>
    <mergeCell ref="E60:F60"/>
    <mergeCell ref="B50:H50"/>
    <mergeCell ref="I39:I40"/>
    <mergeCell ref="E57:F58"/>
    <mergeCell ref="G57:H58"/>
    <mergeCell ref="K57:K58"/>
    <mergeCell ref="L57:L58"/>
    <mergeCell ref="M57:N58"/>
    <mergeCell ref="E54:F54"/>
    <mergeCell ref="E55:F55"/>
    <mergeCell ref="E53:F53"/>
    <mergeCell ref="E51:F52"/>
    <mergeCell ref="J51:J52"/>
    <mergeCell ref="K51:K52"/>
    <mergeCell ref="L51:L52"/>
    <mergeCell ref="I57:I58"/>
    <mergeCell ref="J57:J58"/>
    <mergeCell ref="B53:C54"/>
    <mergeCell ref="B55:D55"/>
    <mergeCell ref="G55:H55"/>
    <mergeCell ref="G54:H54"/>
    <mergeCell ref="G53:H53"/>
    <mergeCell ref="G51:H52"/>
    <mergeCell ref="B38:C38"/>
    <mergeCell ref="D38:E38"/>
    <mergeCell ref="F38:G38"/>
    <mergeCell ref="B39:C40"/>
    <mergeCell ref="D39:E39"/>
    <mergeCell ref="F39:F40"/>
    <mergeCell ref="G39:H39"/>
    <mergeCell ref="B47:J47"/>
    <mergeCell ref="B41:C41"/>
    <mergeCell ref="B42:C42"/>
    <mergeCell ref="B43:C43"/>
    <mergeCell ref="B44:C44"/>
    <mergeCell ref="B45:C45"/>
    <mergeCell ref="B46:C46"/>
    <mergeCell ref="I30:I31"/>
    <mergeCell ref="Q243:Q244"/>
    <mergeCell ref="R243:R244"/>
    <mergeCell ref="R239:R242"/>
    <mergeCell ref="G239:G242"/>
    <mergeCell ref="J239:J242"/>
    <mergeCell ref="K239:K242"/>
    <mergeCell ref="P230:P231"/>
    <mergeCell ref="Q230:Q231"/>
    <mergeCell ref="R230:R231"/>
    <mergeCell ref="G232:G233"/>
    <mergeCell ref="J232:J233"/>
    <mergeCell ref="K232:K233"/>
    <mergeCell ref="G230:G231"/>
    <mergeCell ref="J230:J231"/>
    <mergeCell ref="K230:K231"/>
    <mergeCell ref="G236:G237"/>
    <mergeCell ref="J236:J237"/>
    <mergeCell ref="I51:I52"/>
    <mergeCell ref="M51:N52"/>
    <mergeCell ref="M55:N55"/>
    <mergeCell ref="M54:N54"/>
    <mergeCell ref="M53:N53"/>
    <mergeCell ref="L72:L73"/>
    <mergeCell ref="J247:J248"/>
    <mergeCell ref="K247:K248"/>
    <mergeCell ref="R247:R248"/>
    <mergeCell ref="G243:G244"/>
    <mergeCell ref="J243:J244"/>
    <mergeCell ref="K243:K244"/>
    <mergeCell ref="P243:P244"/>
    <mergeCell ref="B300:G300"/>
    <mergeCell ref="B291:B292"/>
    <mergeCell ref="F291:F292"/>
    <mergeCell ref="G291:G292"/>
    <mergeCell ref="H291:H292"/>
    <mergeCell ref="C294:E294"/>
    <mergeCell ref="C295:E295"/>
    <mergeCell ref="B296:C296"/>
    <mergeCell ref="B251:H251"/>
    <mergeCell ref="B254:F254"/>
    <mergeCell ref="H261:I261"/>
    <mergeCell ref="H260:I260"/>
    <mergeCell ref="H259:I259"/>
    <mergeCell ref="H258:I258"/>
    <mergeCell ref="H257:I257"/>
    <mergeCell ref="H256:I256"/>
    <mergeCell ref="H255:I255"/>
    <mergeCell ref="J228:J229"/>
    <mergeCell ref="G225:G226"/>
    <mergeCell ref="J225:J226"/>
    <mergeCell ref="K225:K226"/>
    <mergeCell ref="K228:K229"/>
    <mergeCell ref="P228:P229"/>
    <mergeCell ref="Q228:Q229"/>
    <mergeCell ref="R228:R229"/>
    <mergeCell ref="K236:K237"/>
    <mergeCell ref="P225:P226"/>
    <mergeCell ref="N228:O228"/>
    <mergeCell ref="L228:M228"/>
    <mergeCell ref="H236:I237"/>
    <mergeCell ref="H235:I235"/>
    <mergeCell ref="H234:I234"/>
    <mergeCell ref="H232:I233"/>
    <mergeCell ref="H230:I231"/>
    <mergeCell ref="H228:I229"/>
    <mergeCell ref="N237:O237"/>
    <mergeCell ref="N236:O236"/>
    <mergeCell ref="N235:O235"/>
    <mergeCell ref="N234:O234"/>
    <mergeCell ref="N233:O233"/>
    <mergeCell ref="N232:O232"/>
    <mergeCell ref="D228:F229"/>
    <mergeCell ref="B228:C229"/>
    <mergeCell ref="P210:P211"/>
    <mergeCell ref="Q210:Q211"/>
    <mergeCell ref="R210:R215"/>
    <mergeCell ref="G217:G218"/>
    <mergeCell ref="J217:J218"/>
    <mergeCell ref="K217:K218"/>
    <mergeCell ref="R217:R218"/>
    <mergeCell ref="G210:G215"/>
    <mergeCell ref="J210:J215"/>
    <mergeCell ref="K210:K215"/>
    <mergeCell ref="N218:O218"/>
    <mergeCell ref="N217:O217"/>
    <mergeCell ref="N216:O216"/>
    <mergeCell ref="N215:O215"/>
    <mergeCell ref="N214:O214"/>
    <mergeCell ref="N213:O213"/>
    <mergeCell ref="G223:G224"/>
    <mergeCell ref="J223:J224"/>
    <mergeCell ref="K223:K224"/>
    <mergeCell ref="Q225:Q226"/>
    <mergeCell ref="R225:R226"/>
    <mergeCell ref="G228:G229"/>
    <mergeCell ref="R202:R203"/>
    <mergeCell ref="G204:G209"/>
    <mergeCell ref="J204:J209"/>
    <mergeCell ref="K204:K209"/>
    <mergeCell ref="P204:P205"/>
    <mergeCell ref="G202:G203"/>
    <mergeCell ref="J202:J203"/>
    <mergeCell ref="K202:K203"/>
    <mergeCell ref="Q204:Q205"/>
    <mergeCell ref="R204:R209"/>
    <mergeCell ref="N208:O208"/>
    <mergeCell ref="N207:O207"/>
    <mergeCell ref="N206:O206"/>
    <mergeCell ref="N204:O205"/>
    <mergeCell ref="N203:O203"/>
    <mergeCell ref="N202:O202"/>
    <mergeCell ref="L208:M208"/>
    <mergeCell ref="L207:M207"/>
    <mergeCell ref="L206:M206"/>
    <mergeCell ref="L204:M205"/>
    <mergeCell ref="L203:M203"/>
    <mergeCell ref="L202:M202"/>
    <mergeCell ref="H204:I209"/>
    <mergeCell ref="H202:I203"/>
    <mergeCell ref="R198:R199"/>
    <mergeCell ref="G200:G201"/>
    <mergeCell ref="J200:J201"/>
    <mergeCell ref="K200:K201"/>
    <mergeCell ref="R200:R201"/>
    <mergeCell ref="G198:G199"/>
    <mergeCell ref="J198:J199"/>
    <mergeCell ref="K198:K199"/>
    <mergeCell ref="N198:O198"/>
    <mergeCell ref="L198:M198"/>
    <mergeCell ref="N201:O201"/>
    <mergeCell ref="N200:O200"/>
    <mergeCell ref="N199:O199"/>
    <mergeCell ref="L201:M201"/>
    <mergeCell ref="L200:M200"/>
    <mergeCell ref="L199:M199"/>
    <mergeCell ref="H200:I201"/>
    <mergeCell ref="H198:I199"/>
    <mergeCell ref="R182:R183"/>
    <mergeCell ref="G186:G187"/>
    <mergeCell ref="J186:J187"/>
    <mergeCell ref="K186:K187"/>
    <mergeCell ref="R186:R187"/>
    <mergeCell ref="G182:G183"/>
    <mergeCell ref="J182:J183"/>
    <mergeCell ref="K182:K183"/>
    <mergeCell ref="L182:M182"/>
    <mergeCell ref="R176:R177"/>
    <mergeCell ref="G178:G179"/>
    <mergeCell ref="J178:J179"/>
    <mergeCell ref="K178:K179"/>
    <mergeCell ref="R178:R179"/>
    <mergeCell ref="G176:G177"/>
    <mergeCell ref="J176:J177"/>
    <mergeCell ref="K176:K177"/>
    <mergeCell ref="H178:I179"/>
    <mergeCell ref="H176:I177"/>
    <mergeCell ref="L179:M179"/>
    <mergeCell ref="L178:M178"/>
    <mergeCell ref="L177:M177"/>
    <mergeCell ref="L176:M176"/>
    <mergeCell ref="N179:O179"/>
    <mergeCell ref="N178:O178"/>
    <mergeCell ref="N177:O177"/>
    <mergeCell ref="N176:O176"/>
    <mergeCell ref="R172:R173"/>
    <mergeCell ref="G174:G175"/>
    <mergeCell ref="J174:J175"/>
    <mergeCell ref="K174:K175"/>
    <mergeCell ref="R174:R175"/>
    <mergeCell ref="G172:G173"/>
    <mergeCell ref="J172:J173"/>
    <mergeCell ref="K172:K173"/>
    <mergeCell ref="H174:I175"/>
    <mergeCell ref="H172:I173"/>
    <mergeCell ref="N175:O175"/>
    <mergeCell ref="L175:M175"/>
    <mergeCell ref="L174:M174"/>
    <mergeCell ref="L173:M173"/>
    <mergeCell ref="L172:M172"/>
    <mergeCell ref="N174:O174"/>
    <mergeCell ref="N173:O173"/>
    <mergeCell ref="N172:O172"/>
    <mergeCell ref="R165:R166"/>
    <mergeCell ref="R167:R168"/>
    <mergeCell ref="G170:G171"/>
    <mergeCell ref="J170:J171"/>
    <mergeCell ref="K170:K171"/>
    <mergeCell ref="R170:R171"/>
    <mergeCell ref="G167:G168"/>
    <mergeCell ref="J167:J168"/>
    <mergeCell ref="K167:K168"/>
    <mergeCell ref="N169:O169"/>
    <mergeCell ref="L169:M169"/>
    <mergeCell ref="N168:O168"/>
    <mergeCell ref="N171:O171"/>
    <mergeCell ref="N170:O170"/>
    <mergeCell ref="L170:M170"/>
    <mergeCell ref="L171:M171"/>
    <mergeCell ref="H170:I171"/>
    <mergeCell ref="B265:D265"/>
    <mergeCell ref="B275:D275"/>
    <mergeCell ref="R132:R133"/>
    <mergeCell ref="G136:G137"/>
    <mergeCell ref="R136:R137"/>
    <mergeCell ref="G132:G133"/>
    <mergeCell ref="D135:F135"/>
    <mergeCell ref="D134:F134"/>
    <mergeCell ref="D132:F133"/>
    <mergeCell ref="L135:M135"/>
    <mergeCell ref="L133:M133"/>
    <mergeCell ref="L134:M134"/>
    <mergeCell ref="L132:M132"/>
    <mergeCell ref="G161:G164"/>
    <mergeCell ref="J161:J164"/>
    <mergeCell ref="R140:R148"/>
    <mergeCell ref="G149:G157"/>
    <mergeCell ref="R149:R157"/>
    <mergeCell ref="G140:G148"/>
    <mergeCell ref="K161:K164"/>
    <mergeCell ref="R161:R164"/>
    <mergeCell ref="D149:F157"/>
    <mergeCell ref="D140:F148"/>
    <mergeCell ref="G165:G166"/>
    <mergeCell ref="R127:R128"/>
    <mergeCell ref="G130:G131"/>
    <mergeCell ref="R130:R131"/>
    <mergeCell ref="G127:G128"/>
    <mergeCell ref="D129:F129"/>
    <mergeCell ref="D127:F128"/>
    <mergeCell ref="D130:F131"/>
    <mergeCell ref="H129:I129"/>
    <mergeCell ref="H127:I128"/>
    <mergeCell ref="L131:M131"/>
    <mergeCell ref="L130:M130"/>
    <mergeCell ref="L129:M129"/>
    <mergeCell ref="R120:R121"/>
    <mergeCell ref="G124:G125"/>
    <mergeCell ref="R124:R125"/>
    <mergeCell ref="G120:G121"/>
    <mergeCell ref="H124:I125"/>
    <mergeCell ref="H123:I123"/>
    <mergeCell ref="H122:I122"/>
    <mergeCell ref="N124:O124"/>
    <mergeCell ref="N123:O123"/>
    <mergeCell ref="N122:O122"/>
    <mergeCell ref="N121:O121"/>
    <mergeCell ref="N120:O120"/>
    <mergeCell ref="R114:R115"/>
    <mergeCell ref="G116:G117"/>
    <mergeCell ref="R116:R117"/>
    <mergeCell ref="G114:G115"/>
    <mergeCell ref="R99:R100"/>
    <mergeCell ref="G111:G113"/>
    <mergeCell ref="R111:R113"/>
    <mergeCell ref="B92:G92"/>
    <mergeCell ref="G99:G100"/>
    <mergeCell ref="B111:C113"/>
    <mergeCell ref="B110:C110"/>
    <mergeCell ref="B109:C109"/>
    <mergeCell ref="B108:C108"/>
    <mergeCell ref="B107:C107"/>
    <mergeCell ref="B106:C106"/>
    <mergeCell ref="B116:C117"/>
    <mergeCell ref="B114:C115"/>
    <mergeCell ref="B105:C105"/>
    <mergeCell ref="B104:C104"/>
    <mergeCell ref="B101:C101"/>
    <mergeCell ref="B99:C100"/>
    <mergeCell ref="B98:C98"/>
    <mergeCell ref="B97:C97"/>
    <mergeCell ref="B96:C96"/>
    <mergeCell ref="B29:C29"/>
    <mergeCell ref="D29:E29"/>
    <mergeCell ref="F29:G29"/>
    <mergeCell ref="B36:C36"/>
    <mergeCell ref="B35:C35"/>
    <mergeCell ref="B34:C34"/>
    <mergeCell ref="B33:C33"/>
    <mergeCell ref="B14:F14"/>
    <mergeCell ref="B32:C32"/>
    <mergeCell ref="B30:C31"/>
    <mergeCell ref="D30:E30"/>
    <mergeCell ref="F30:F31"/>
    <mergeCell ref="G30:H30"/>
    <mergeCell ref="B25:H25"/>
    <mergeCell ref="B28:H28"/>
    <mergeCell ref="B24:C24"/>
    <mergeCell ref="B23:C23"/>
    <mergeCell ref="B20:C22"/>
    <mergeCell ref="B19:C19"/>
    <mergeCell ref="B16:C18"/>
    <mergeCell ref="B15:C15"/>
  </mergeCells>
  <conditionalFormatting sqref="K83:K84">
    <cfRule type="duplicateValues" dxfId="21" priority="40"/>
  </conditionalFormatting>
  <conditionalFormatting sqref="K70:K71">
    <cfRule type="duplicateValues" dxfId="20" priority="42"/>
  </conditionalFormatting>
  <conditionalFormatting sqref="K274:K279">
    <cfRule type="duplicateValues" dxfId="19" priority="44"/>
  </conditionalFormatting>
  <conditionalFormatting sqref="K272:K273">
    <cfRule type="duplicateValues" dxfId="18" priority="45"/>
  </conditionalFormatting>
  <conditionalFormatting sqref="K269:K271">
    <cfRule type="duplicateValues" dxfId="17" priority="46"/>
  </conditionalFormatting>
  <conditionalFormatting sqref="K267:K268">
    <cfRule type="duplicateValues" dxfId="16" priority="47"/>
  </conditionalFormatting>
  <conditionalFormatting sqref="K263:K264">
    <cfRule type="duplicateValues" dxfId="15" priority="49"/>
  </conditionalFormatting>
  <conditionalFormatting sqref="K306 K297:K298">
    <cfRule type="duplicateValues" dxfId="14" priority="53"/>
  </conditionalFormatting>
  <conditionalFormatting sqref="K303:K305 K299:K300">
    <cfRule type="duplicateValues" dxfId="13" priority="54"/>
  </conditionalFormatting>
  <conditionalFormatting sqref="K38:K45">
    <cfRule type="duplicateValues" dxfId="12" priority="39"/>
  </conditionalFormatting>
  <conditionalFormatting sqref="K56">
    <cfRule type="duplicateValues" dxfId="11" priority="37"/>
  </conditionalFormatting>
  <conditionalFormatting sqref="F46">
    <cfRule type="duplicateValues" dxfId="10" priority="13"/>
  </conditionalFormatting>
  <conditionalFormatting sqref="B204 B159 B225 B217 B161 B169:B170 B167 B165 B180:B182 B178 B176 B174 B172 B188:B198 B184:B186 B202 B200 B219:B223 B227:B228 B238:B239 B234:B236 B232 B230 B249 B245:B247 B243">
    <cfRule type="duplicateValues" dxfId="9" priority="65"/>
  </conditionalFormatting>
  <conditionalFormatting sqref="B210 B216">
    <cfRule type="duplicateValues" dxfId="8" priority="70"/>
  </conditionalFormatting>
  <conditionalFormatting sqref="K77">
    <cfRule type="duplicateValues" dxfId="7" priority="2"/>
  </conditionalFormatting>
  <conditionalFormatting sqref="K313:K1048576 K250:K254 K1:K14 K24:K29 K37 K85:K92 K296 K46:K50 K62:K67 K262 K69">
    <cfRule type="duplicateValues" dxfId="6" priority="155"/>
  </conditionalFormatting>
  <conditionalFormatting sqref="E284:E285">
    <cfRule type="duplicateValues" dxfId="5" priority="1"/>
  </conditionalFormatting>
  <conditionalFormatting sqref="K280">
    <cfRule type="duplicateValues" dxfId="4" priority="156"/>
  </conditionalFormatting>
  <conditionalFormatting sqref="K284:K290">
    <cfRule type="duplicateValues" dxfId="3" priority="157"/>
  </conditionalFormatting>
  <conditionalFormatting sqref="K307:K312">
    <cfRule type="duplicateValues" dxfId="2" priority="158"/>
  </conditionalFormatting>
  <conditionalFormatting sqref="K265:K266">
    <cfRule type="duplicateValues" dxfId="1" priority="159"/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57150</xdr:rowOff>
              </from>
              <to>
                <xdr:col>3</xdr:col>
                <xdr:colOff>295275</xdr:colOff>
                <xdr:row>4</xdr:row>
                <xdr:rowOff>76200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9C2E-BD1E-46B8-9E43-90E66E2AD476}">
  <dimension ref="A7:U203"/>
  <sheetViews>
    <sheetView zoomScaleNormal="100" workbookViewId="0"/>
  </sheetViews>
  <sheetFormatPr baseColWidth="10" defaultColWidth="11.5703125" defaultRowHeight="15" x14ac:dyDescent="0.25"/>
  <sheetData>
    <row r="7" spans="2:9" ht="18" x14ac:dyDescent="0.25">
      <c r="B7" s="1" t="s">
        <v>0</v>
      </c>
    </row>
    <row r="8" spans="2:9" x14ac:dyDescent="0.25">
      <c r="B8" s="86"/>
    </row>
    <row r="9" spans="2:9" ht="18" x14ac:dyDescent="0.25">
      <c r="B9" s="1" t="s">
        <v>933</v>
      </c>
    </row>
    <row r="10" spans="2:9" s="86" customFormat="1" ht="18" x14ac:dyDescent="0.25">
      <c r="B10" s="1"/>
    </row>
    <row r="11" spans="2:9" x14ac:dyDescent="0.25">
      <c r="B11" s="56"/>
    </row>
    <row r="12" spans="2:9" x14ac:dyDescent="0.25">
      <c r="B12" s="51" t="s">
        <v>1185</v>
      </c>
    </row>
    <row r="13" spans="2:9" ht="15" customHeight="1" x14ac:dyDescent="0.25">
      <c r="B13" s="666" t="s">
        <v>2</v>
      </c>
      <c r="C13" s="666"/>
      <c r="D13" s="666" t="s">
        <v>470</v>
      </c>
      <c r="E13" s="666"/>
      <c r="F13" s="666" t="s">
        <v>471</v>
      </c>
      <c r="G13" s="666"/>
      <c r="H13" s="666" t="s">
        <v>472</v>
      </c>
      <c r="I13" s="666"/>
    </row>
    <row r="14" spans="2:9" x14ac:dyDescent="0.25">
      <c r="B14" s="666"/>
      <c r="C14" s="666"/>
      <c r="D14" s="666"/>
      <c r="E14" s="666"/>
      <c r="F14" s="666"/>
      <c r="G14" s="666"/>
      <c r="H14" s="666"/>
      <c r="I14" s="666"/>
    </row>
    <row r="15" spans="2:9" ht="15.75" thickBot="1" x14ac:dyDescent="0.3">
      <c r="B15" s="891" t="s">
        <v>12</v>
      </c>
      <c r="C15" s="891"/>
      <c r="D15" s="907">
        <v>108</v>
      </c>
      <c r="E15" s="907"/>
      <c r="F15" s="859">
        <v>9</v>
      </c>
      <c r="G15" s="859"/>
      <c r="H15" s="908">
        <f>D15/F15</f>
        <v>12</v>
      </c>
      <c r="I15" s="908"/>
    </row>
    <row r="16" spans="2:9" ht="21" customHeight="1" thickBot="1" x14ac:dyDescent="0.3">
      <c r="B16" s="890" t="s">
        <v>579</v>
      </c>
      <c r="C16" s="890"/>
      <c r="D16" s="892">
        <v>240</v>
      </c>
      <c r="E16" s="892"/>
      <c r="F16" s="910">
        <v>8</v>
      </c>
      <c r="G16" s="910"/>
      <c r="H16" s="909">
        <f>D16/F16</f>
        <v>30</v>
      </c>
      <c r="I16" s="909"/>
    </row>
    <row r="17" spans="2:11" x14ac:dyDescent="0.25">
      <c r="B17" s="842" t="s">
        <v>832</v>
      </c>
      <c r="C17" s="842"/>
      <c r="F17" s="398"/>
      <c r="G17" s="398"/>
    </row>
    <row r="18" spans="2:11" x14ac:dyDescent="0.25">
      <c r="B18" s="842" t="s">
        <v>473</v>
      </c>
      <c r="C18" s="842"/>
      <c r="D18" s="842"/>
    </row>
    <row r="19" spans="2:11" x14ac:dyDescent="0.25">
      <c r="B19" s="57"/>
      <c r="F19" s="86"/>
      <c r="G19" s="86"/>
      <c r="H19" s="86"/>
      <c r="I19" s="86"/>
      <c r="J19" s="86"/>
    </row>
    <row r="20" spans="2:11" x14ac:dyDescent="0.25">
      <c r="B20" s="56"/>
    </row>
    <row r="21" spans="2:11" x14ac:dyDescent="0.25">
      <c r="B21" s="88" t="s">
        <v>1186</v>
      </c>
      <c r="E21" s="72"/>
    </row>
    <row r="22" spans="2:11" ht="33.75" customHeight="1" x14ac:dyDescent="0.25">
      <c r="B22" s="666" t="s">
        <v>2</v>
      </c>
      <c r="C22" s="666"/>
      <c r="D22" s="666" t="s">
        <v>470</v>
      </c>
      <c r="E22" s="666"/>
      <c r="F22" s="667" t="s">
        <v>474</v>
      </c>
      <c r="G22" s="667"/>
      <c r="H22" s="667" t="s">
        <v>475</v>
      </c>
      <c r="I22" s="667"/>
    </row>
    <row r="23" spans="2:11" x14ac:dyDescent="0.25">
      <c r="B23" s="666"/>
      <c r="C23" s="666"/>
      <c r="D23" s="666"/>
      <c r="E23" s="666"/>
      <c r="F23" s="483" t="s">
        <v>476</v>
      </c>
      <c r="G23" s="483" t="s">
        <v>477</v>
      </c>
      <c r="H23" s="483" t="s">
        <v>476</v>
      </c>
      <c r="I23" s="483" t="s">
        <v>477</v>
      </c>
    </row>
    <row r="24" spans="2:11" ht="15.75" thickBot="1" x14ac:dyDescent="0.3">
      <c r="B24" s="891" t="s">
        <v>12</v>
      </c>
      <c r="C24" s="891"/>
      <c r="D24" s="907">
        <v>108</v>
      </c>
      <c r="E24" s="907"/>
      <c r="F24" s="1011">
        <v>65</v>
      </c>
      <c r="G24" s="1012">
        <v>0.60189999999999999</v>
      </c>
      <c r="H24" s="577">
        <v>81</v>
      </c>
      <c r="I24" s="584">
        <f>H24/D24</f>
        <v>0.75</v>
      </c>
    </row>
    <row r="25" spans="2:11" ht="21" customHeight="1" thickBot="1" x14ac:dyDescent="0.3">
      <c r="B25" s="890" t="s">
        <v>579</v>
      </c>
      <c r="C25" s="890"/>
      <c r="D25" s="892">
        <v>240</v>
      </c>
      <c r="E25" s="892"/>
      <c r="F25" s="582">
        <v>20</v>
      </c>
      <c r="G25" s="585">
        <v>8.3000000000000004E-2</v>
      </c>
      <c r="H25" s="582">
        <v>210</v>
      </c>
      <c r="I25" s="585">
        <v>0.878</v>
      </c>
    </row>
    <row r="26" spans="2:11" x14ac:dyDescent="0.25">
      <c r="B26" s="889" t="s">
        <v>832</v>
      </c>
      <c r="C26" s="889"/>
      <c r="D26" s="391"/>
      <c r="E26" s="72"/>
      <c r="F26" s="72"/>
      <c r="G26" s="97"/>
    </row>
    <row r="27" spans="2:11" x14ac:dyDescent="0.25">
      <c r="B27" s="889" t="s">
        <v>473</v>
      </c>
      <c r="C27" s="889"/>
      <c r="D27" s="889"/>
      <c r="E27" s="889"/>
      <c r="F27" s="889"/>
      <c r="G27" s="98"/>
    </row>
    <row r="28" spans="2:11" x14ac:dyDescent="0.25">
      <c r="B28" s="58"/>
    </row>
    <row r="29" spans="2:11" x14ac:dyDescent="0.25">
      <c r="B29" s="58"/>
    </row>
    <row r="30" spans="2:11" x14ac:dyDescent="0.25">
      <c r="B30" s="490" t="s">
        <v>1187</v>
      </c>
      <c r="E30" s="72"/>
      <c r="F30" s="402"/>
      <c r="G30" s="72"/>
      <c r="H30" s="72"/>
    </row>
    <row r="31" spans="2:11" ht="15" customHeight="1" x14ac:dyDescent="0.25">
      <c r="B31" s="666" t="s">
        <v>2</v>
      </c>
      <c r="C31" s="666"/>
      <c r="D31" s="666" t="s">
        <v>478</v>
      </c>
      <c r="E31" s="666"/>
      <c r="F31" s="666" t="s">
        <v>479</v>
      </c>
      <c r="G31" s="666"/>
      <c r="H31" s="667" t="s">
        <v>480</v>
      </c>
      <c r="I31" s="667"/>
      <c r="J31" s="667"/>
      <c r="K31" s="667"/>
    </row>
    <row r="32" spans="2:11" x14ac:dyDescent="0.25">
      <c r="B32" s="666"/>
      <c r="C32" s="666"/>
      <c r="D32" s="666"/>
      <c r="E32" s="666"/>
      <c r="F32" s="666"/>
      <c r="G32" s="666"/>
      <c r="H32" s="483" t="s">
        <v>481</v>
      </c>
      <c r="I32" s="483" t="s">
        <v>482</v>
      </c>
      <c r="J32" s="483" t="s">
        <v>483</v>
      </c>
      <c r="K32" s="483" t="s">
        <v>198</v>
      </c>
    </row>
    <row r="33" spans="2:11" ht="15.75" customHeight="1" thickBot="1" x14ac:dyDescent="0.3">
      <c r="B33" s="891" t="s">
        <v>12</v>
      </c>
      <c r="C33" s="891"/>
      <c r="D33" s="907">
        <v>10</v>
      </c>
      <c r="E33" s="907"/>
      <c r="F33" s="907">
        <v>159</v>
      </c>
      <c r="G33" s="907"/>
      <c r="H33" s="577">
        <v>135</v>
      </c>
      <c r="I33" s="577">
        <v>24</v>
      </c>
      <c r="J33" s="577">
        <v>32</v>
      </c>
      <c r="K33" s="577">
        <v>128</v>
      </c>
    </row>
    <row r="34" spans="2:11" s="86" customFormat="1" ht="15.75" customHeight="1" thickBot="1" x14ac:dyDescent="0.3">
      <c r="B34" s="890" t="s">
        <v>579</v>
      </c>
      <c r="C34" s="890"/>
      <c r="D34" s="892">
        <v>8</v>
      </c>
      <c r="E34" s="892"/>
      <c r="F34" s="892">
        <v>39</v>
      </c>
      <c r="G34" s="892"/>
      <c r="H34" s="582">
        <v>35</v>
      </c>
      <c r="I34" s="582">
        <v>4</v>
      </c>
      <c r="J34" s="582">
        <v>18</v>
      </c>
      <c r="K34" s="582">
        <v>21</v>
      </c>
    </row>
    <row r="35" spans="2:11" x14ac:dyDescent="0.25">
      <c r="B35" s="842" t="s">
        <v>832</v>
      </c>
      <c r="C35" s="842"/>
      <c r="D35" s="72"/>
      <c r="E35" s="583"/>
      <c r="F35" s="72"/>
      <c r="G35" s="583"/>
      <c r="H35" s="583"/>
      <c r="I35" s="72"/>
      <c r="J35" s="72"/>
    </row>
    <row r="36" spans="2:11" x14ac:dyDescent="0.25">
      <c r="B36" s="44" t="s">
        <v>484</v>
      </c>
      <c r="D36" s="72"/>
      <c r="E36" s="583"/>
      <c r="F36" s="72"/>
      <c r="G36" s="583"/>
      <c r="H36" s="583"/>
      <c r="I36" s="72"/>
      <c r="J36" s="72"/>
    </row>
    <row r="37" spans="2:11" x14ac:dyDescent="0.25">
      <c r="B37" s="44"/>
      <c r="D37" s="72"/>
      <c r="E37" s="583"/>
      <c r="F37" s="583"/>
      <c r="G37" s="583"/>
      <c r="H37" s="583"/>
      <c r="I37" s="72"/>
      <c r="J37" s="72"/>
    </row>
    <row r="38" spans="2:11" x14ac:dyDescent="0.25">
      <c r="B38" s="58"/>
      <c r="D38" s="72"/>
      <c r="E38" s="583"/>
      <c r="F38" s="583"/>
      <c r="G38" s="583"/>
      <c r="H38" s="583"/>
      <c r="I38" s="72"/>
      <c r="J38" s="72"/>
    </row>
    <row r="39" spans="2:11" x14ac:dyDescent="0.25">
      <c r="B39" s="399" t="s">
        <v>485</v>
      </c>
      <c r="C39" s="44"/>
      <c r="D39" s="44"/>
    </row>
    <row r="40" spans="2:11" x14ac:dyDescent="0.25">
      <c r="B40" s="51"/>
      <c r="C40" s="44"/>
      <c r="D40" s="44"/>
    </row>
    <row r="41" spans="2:11" x14ac:dyDescent="0.25">
      <c r="B41" s="88" t="s">
        <v>1188</v>
      </c>
      <c r="C41" s="654"/>
      <c r="D41" s="654"/>
      <c r="E41" s="72"/>
      <c r="F41" s="72"/>
      <c r="H41" s="102"/>
    </row>
    <row r="42" spans="2:11" x14ac:dyDescent="0.25">
      <c r="B42" s="666" t="s">
        <v>2</v>
      </c>
      <c r="C42" s="666"/>
      <c r="D42" s="667" t="s">
        <v>11</v>
      </c>
      <c r="E42" s="667"/>
      <c r="F42" s="667"/>
    </row>
    <row r="43" spans="2:11" x14ac:dyDescent="0.25">
      <c r="B43" s="667"/>
      <c r="C43" s="667"/>
      <c r="D43" s="483" t="s">
        <v>486</v>
      </c>
      <c r="E43" s="483" t="s">
        <v>487</v>
      </c>
      <c r="F43" s="483" t="s">
        <v>488</v>
      </c>
    </row>
    <row r="44" spans="2:11" ht="15.75" thickBot="1" x14ac:dyDescent="0.3">
      <c r="B44" s="911" t="s">
        <v>12</v>
      </c>
      <c r="C44" s="911"/>
      <c r="D44" s="662" t="s">
        <v>64</v>
      </c>
      <c r="E44" s="662" t="s">
        <v>64</v>
      </c>
      <c r="F44" s="663" t="s">
        <v>64</v>
      </c>
    </row>
    <row r="45" spans="2:11" ht="15.75" thickBot="1" x14ac:dyDescent="0.3">
      <c r="B45" s="890" t="s">
        <v>579</v>
      </c>
      <c r="C45" s="890"/>
      <c r="D45" s="655" t="s">
        <v>64</v>
      </c>
      <c r="E45" s="656" t="s">
        <v>64</v>
      </c>
      <c r="F45" s="655" t="s">
        <v>64</v>
      </c>
    </row>
    <row r="46" spans="2:11" x14ac:dyDescent="0.25">
      <c r="B46" s="4" t="s">
        <v>832</v>
      </c>
      <c r="C46" s="50"/>
      <c r="D46" s="44"/>
    </row>
    <row r="47" spans="2:11" x14ac:dyDescent="0.25">
      <c r="B47" s="842" t="s">
        <v>489</v>
      </c>
      <c r="C47" s="842"/>
      <c r="D47" s="44"/>
    </row>
    <row r="48" spans="2:11" x14ac:dyDescent="0.25">
      <c r="B48" s="41"/>
      <c r="C48" s="44"/>
      <c r="D48" s="44"/>
    </row>
    <row r="49" spans="2:13" x14ac:dyDescent="0.25">
      <c r="B49" s="44"/>
      <c r="C49" s="44"/>
      <c r="D49" s="44"/>
      <c r="E49" s="59"/>
    </row>
    <row r="50" spans="2:13" x14ac:dyDescent="0.25">
      <c r="B50" s="399" t="s">
        <v>490</v>
      </c>
    </row>
    <row r="51" spans="2:13" x14ac:dyDescent="0.25">
      <c r="B51" s="51"/>
    </row>
    <row r="52" spans="2:13" x14ac:dyDescent="0.25">
      <c r="B52" s="103" t="s">
        <v>1189</v>
      </c>
      <c r="C52" s="17"/>
      <c r="D52" s="17"/>
    </row>
    <row r="53" spans="2:13" ht="15" customHeight="1" x14ac:dyDescent="0.25">
      <c r="B53" s="666" t="s">
        <v>2</v>
      </c>
      <c r="C53" s="666"/>
      <c r="D53" s="666" t="s">
        <v>491</v>
      </c>
      <c r="E53" s="666"/>
      <c r="F53" s="666" t="s">
        <v>492</v>
      </c>
      <c r="G53" s="666" t="s">
        <v>493</v>
      </c>
      <c r="H53" s="666"/>
      <c r="I53" s="667" t="s">
        <v>194</v>
      </c>
      <c r="J53" s="667"/>
      <c r="K53" s="667"/>
      <c r="L53" s="667"/>
      <c r="M53" s="667"/>
    </row>
    <row r="54" spans="2:13" x14ac:dyDescent="0.25">
      <c r="B54" s="667"/>
      <c r="C54" s="667"/>
      <c r="D54" s="667"/>
      <c r="E54" s="667"/>
      <c r="F54" s="667"/>
      <c r="G54" s="667"/>
      <c r="H54" s="667"/>
      <c r="I54" s="483" t="s">
        <v>7</v>
      </c>
      <c r="J54" s="483" t="s">
        <v>8</v>
      </c>
      <c r="K54" s="483" t="s">
        <v>9</v>
      </c>
      <c r="L54" s="483" t="s">
        <v>10</v>
      </c>
      <c r="M54" s="483" t="s">
        <v>11</v>
      </c>
    </row>
    <row r="55" spans="2:13" ht="31.5" customHeight="1" thickBot="1" x14ac:dyDescent="0.3">
      <c r="B55" s="912" t="s">
        <v>12</v>
      </c>
      <c r="C55" s="912"/>
      <c r="D55" s="804" t="s">
        <v>494</v>
      </c>
      <c r="E55" s="804"/>
      <c r="F55" s="548" t="s">
        <v>495</v>
      </c>
      <c r="G55" s="802" t="s">
        <v>496</v>
      </c>
      <c r="H55" s="802"/>
      <c r="I55" s="548">
        <v>2</v>
      </c>
      <c r="J55" s="548">
        <v>1</v>
      </c>
      <c r="K55" s="548">
        <v>0</v>
      </c>
      <c r="L55" s="548">
        <v>0</v>
      </c>
      <c r="M55" s="548">
        <v>0</v>
      </c>
    </row>
    <row r="56" spans="2:13" ht="31.5" customHeight="1" thickBot="1" x14ac:dyDescent="0.3">
      <c r="B56" s="912"/>
      <c r="C56" s="912"/>
      <c r="D56" s="886" t="s">
        <v>494</v>
      </c>
      <c r="E56" s="886"/>
      <c r="F56" s="575" t="s">
        <v>495</v>
      </c>
      <c r="G56" s="885" t="s">
        <v>497</v>
      </c>
      <c r="H56" s="885"/>
      <c r="I56" s="575">
        <v>1</v>
      </c>
      <c r="J56" s="575">
        <v>1</v>
      </c>
      <c r="K56" s="575">
        <v>1</v>
      </c>
      <c r="L56" s="575">
        <v>1</v>
      </c>
      <c r="M56" s="575">
        <v>0</v>
      </c>
    </row>
    <row r="57" spans="2:13" ht="31.5" customHeight="1" thickBot="1" x14ac:dyDescent="0.3">
      <c r="B57" s="912"/>
      <c r="C57" s="912"/>
      <c r="D57" s="804" t="s">
        <v>494</v>
      </c>
      <c r="E57" s="804"/>
      <c r="F57" s="548" t="s">
        <v>498</v>
      </c>
      <c r="G57" s="802" t="s">
        <v>499</v>
      </c>
      <c r="H57" s="802"/>
      <c r="I57" s="548">
        <v>0</v>
      </c>
      <c r="J57" s="548">
        <v>0</v>
      </c>
      <c r="K57" s="548">
        <v>1</v>
      </c>
      <c r="L57" s="548">
        <v>0</v>
      </c>
      <c r="M57" s="548">
        <v>0</v>
      </c>
    </row>
    <row r="58" spans="2:13" ht="26.25" customHeight="1" x14ac:dyDescent="0.25">
      <c r="B58" s="912"/>
      <c r="C58" s="912"/>
      <c r="D58" s="803" t="s">
        <v>500</v>
      </c>
      <c r="E58" s="803"/>
      <c r="F58" s="540" t="s">
        <v>501</v>
      </c>
      <c r="G58" s="801" t="s">
        <v>502</v>
      </c>
      <c r="H58" s="801"/>
      <c r="I58" s="540">
        <v>0</v>
      </c>
      <c r="J58" s="540">
        <v>0</v>
      </c>
      <c r="K58" s="540">
        <v>0</v>
      </c>
      <c r="L58" s="540">
        <v>0</v>
      </c>
      <c r="M58" s="540">
        <v>1</v>
      </c>
    </row>
    <row r="59" spans="2:13" s="86" customFormat="1" ht="15.75" customHeight="1" thickBot="1" x14ac:dyDescent="0.3">
      <c r="B59" s="888" t="s">
        <v>90</v>
      </c>
      <c r="C59" s="888"/>
      <c r="D59" s="888"/>
      <c r="E59" s="888"/>
      <c r="F59" s="888"/>
      <c r="G59" s="888"/>
      <c r="H59" s="888"/>
      <c r="I59" s="587">
        <f>SUM(I55:I58)</f>
        <v>3</v>
      </c>
      <c r="J59" s="587">
        <f>SUM(J55:J58)</f>
        <v>2</v>
      </c>
      <c r="K59" s="587">
        <f>SUM(K55:K58)</f>
        <v>2</v>
      </c>
      <c r="L59" s="587">
        <f>SUM(L55:L58)</f>
        <v>1</v>
      </c>
      <c r="M59" s="587">
        <f>SUM(M55:M58)</f>
        <v>1</v>
      </c>
    </row>
    <row r="60" spans="2:13" ht="26.25" customHeight="1" thickBot="1" x14ac:dyDescent="0.3">
      <c r="B60" s="912" t="s">
        <v>13</v>
      </c>
      <c r="C60" s="912"/>
      <c r="D60" s="804" t="s">
        <v>494</v>
      </c>
      <c r="E60" s="804"/>
      <c r="F60" s="548" t="s">
        <v>834</v>
      </c>
      <c r="G60" s="802" t="s">
        <v>835</v>
      </c>
      <c r="H60" s="802"/>
      <c r="I60" s="548">
        <v>0</v>
      </c>
      <c r="J60" s="548">
        <v>0</v>
      </c>
      <c r="K60" s="548">
        <v>0</v>
      </c>
      <c r="L60" s="586">
        <v>1</v>
      </c>
      <c r="M60" s="548">
        <v>0</v>
      </c>
    </row>
    <row r="61" spans="2:13" s="86" customFormat="1" ht="26.25" customHeight="1" thickBot="1" x14ac:dyDescent="0.3">
      <c r="B61" s="912"/>
      <c r="C61" s="912"/>
      <c r="D61" s="804" t="s">
        <v>494</v>
      </c>
      <c r="E61" s="804"/>
      <c r="F61" s="548" t="s">
        <v>834</v>
      </c>
      <c r="G61" s="802" t="s">
        <v>836</v>
      </c>
      <c r="H61" s="802"/>
      <c r="I61" s="548">
        <v>0</v>
      </c>
      <c r="J61" s="548">
        <v>0</v>
      </c>
      <c r="K61" s="548">
        <v>0</v>
      </c>
      <c r="L61" s="586">
        <v>1</v>
      </c>
      <c r="M61" s="548">
        <v>0</v>
      </c>
    </row>
    <row r="62" spans="2:13" s="86" customFormat="1" ht="36" customHeight="1" thickBot="1" x14ac:dyDescent="0.3">
      <c r="B62" s="912"/>
      <c r="C62" s="912"/>
      <c r="D62" s="804" t="s">
        <v>494</v>
      </c>
      <c r="E62" s="804"/>
      <c r="F62" s="548" t="s">
        <v>834</v>
      </c>
      <c r="G62" s="802" t="s">
        <v>837</v>
      </c>
      <c r="H62" s="802"/>
      <c r="I62" s="548">
        <v>0</v>
      </c>
      <c r="J62" s="548">
        <v>0</v>
      </c>
      <c r="K62" s="548">
        <v>0</v>
      </c>
      <c r="L62" s="586">
        <v>1</v>
      </c>
      <c r="M62" s="548">
        <v>0</v>
      </c>
    </row>
    <row r="63" spans="2:13" s="86" customFormat="1" ht="28.5" customHeight="1" thickBot="1" x14ac:dyDescent="0.3">
      <c r="B63" s="912"/>
      <c r="C63" s="912"/>
      <c r="D63" s="804" t="s">
        <v>494</v>
      </c>
      <c r="E63" s="804"/>
      <c r="F63" s="548" t="s">
        <v>834</v>
      </c>
      <c r="G63" s="802" t="s">
        <v>838</v>
      </c>
      <c r="H63" s="802"/>
      <c r="I63" s="548">
        <v>0</v>
      </c>
      <c r="J63" s="548">
        <v>0</v>
      </c>
      <c r="K63" s="548">
        <v>0</v>
      </c>
      <c r="L63" s="586">
        <v>1</v>
      </c>
      <c r="M63" s="548">
        <v>0</v>
      </c>
    </row>
    <row r="64" spans="2:13" s="86" customFormat="1" ht="25.5" customHeight="1" thickBot="1" x14ac:dyDescent="0.3">
      <c r="B64" s="912"/>
      <c r="C64" s="912"/>
      <c r="D64" s="804" t="s">
        <v>494</v>
      </c>
      <c r="E64" s="804"/>
      <c r="F64" s="548" t="s">
        <v>834</v>
      </c>
      <c r="G64" s="802" t="s">
        <v>839</v>
      </c>
      <c r="H64" s="802"/>
      <c r="I64" s="548">
        <v>0</v>
      </c>
      <c r="J64" s="548">
        <v>0</v>
      </c>
      <c r="K64" s="548">
        <v>0</v>
      </c>
      <c r="L64" s="586">
        <v>1</v>
      </c>
      <c r="M64" s="548">
        <v>0</v>
      </c>
    </row>
    <row r="65" spans="2:13" s="86" customFormat="1" ht="26.25" customHeight="1" x14ac:dyDescent="0.25">
      <c r="B65" s="912"/>
      <c r="C65" s="912"/>
      <c r="D65" s="803" t="s">
        <v>494</v>
      </c>
      <c r="E65" s="803"/>
      <c r="F65" s="540" t="s">
        <v>495</v>
      </c>
      <c r="G65" s="801" t="s">
        <v>496</v>
      </c>
      <c r="H65" s="801"/>
      <c r="I65" s="540">
        <v>0</v>
      </c>
      <c r="J65" s="540">
        <v>0</v>
      </c>
      <c r="K65" s="540">
        <v>0</v>
      </c>
      <c r="L65" s="579">
        <v>0</v>
      </c>
      <c r="M65" s="540">
        <v>1</v>
      </c>
    </row>
    <row r="66" spans="2:13" s="86" customFormat="1" ht="15.75" customHeight="1" thickBot="1" x14ac:dyDescent="0.3">
      <c r="B66" s="888" t="s">
        <v>90</v>
      </c>
      <c r="C66" s="888"/>
      <c r="D66" s="888"/>
      <c r="E66" s="888"/>
      <c r="F66" s="888"/>
      <c r="G66" s="888"/>
      <c r="H66" s="888"/>
      <c r="I66" s="587">
        <f>SUM(I60:I65)</f>
        <v>0</v>
      </c>
      <c r="J66" s="587">
        <f t="shared" ref="J66:M66" si="0">SUM(J60:J65)</f>
        <v>0</v>
      </c>
      <c r="K66" s="587">
        <f t="shared" si="0"/>
        <v>0</v>
      </c>
      <c r="L66" s="587">
        <f t="shared" si="0"/>
        <v>5</v>
      </c>
      <c r="M66" s="587">
        <f t="shared" si="0"/>
        <v>1</v>
      </c>
    </row>
    <row r="67" spans="2:13" x14ac:dyDescent="0.25">
      <c r="B67" s="832" t="s">
        <v>832</v>
      </c>
      <c r="C67" s="832"/>
      <c r="F67" s="55"/>
    </row>
    <row r="68" spans="2:13" x14ac:dyDescent="0.25">
      <c r="B68" s="47" t="s">
        <v>503</v>
      </c>
    </row>
    <row r="69" spans="2:13" x14ac:dyDescent="0.25">
      <c r="B69" s="47"/>
    </row>
    <row r="70" spans="2:13" x14ac:dyDescent="0.25">
      <c r="B70" s="41"/>
    </row>
    <row r="71" spans="2:13" x14ac:dyDescent="0.25">
      <c r="B71" s="103" t="s">
        <v>1190</v>
      </c>
      <c r="C71" s="103"/>
      <c r="D71" s="103"/>
      <c r="E71" s="72"/>
    </row>
    <row r="72" spans="2:13" x14ac:dyDescent="0.25">
      <c r="B72" s="666" t="s">
        <v>2</v>
      </c>
      <c r="C72" s="666"/>
      <c r="D72" s="666" t="s">
        <v>491</v>
      </c>
      <c r="E72" s="666"/>
      <c r="F72" s="666" t="s">
        <v>492</v>
      </c>
      <c r="G72" s="666" t="s">
        <v>493</v>
      </c>
      <c r="H72" s="666"/>
      <c r="I72" s="667" t="s">
        <v>194</v>
      </c>
      <c r="J72" s="667"/>
      <c r="K72" s="667"/>
      <c r="L72" s="667"/>
      <c r="M72" s="667"/>
    </row>
    <row r="73" spans="2:13" x14ac:dyDescent="0.25">
      <c r="B73" s="667"/>
      <c r="C73" s="667"/>
      <c r="D73" s="667"/>
      <c r="E73" s="667"/>
      <c r="F73" s="667"/>
      <c r="G73" s="667"/>
      <c r="H73" s="667"/>
      <c r="I73" s="483" t="s">
        <v>7</v>
      </c>
      <c r="J73" s="483" t="s">
        <v>8</v>
      </c>
      <c r="K73" s="483" t="s">
        <v>9</v>
      </c>
      <c r="L73" s="483" t="s">
        <v>10</v>
      </c>
      <c r="M73" s="483" t="s">
        <v>11</v>
      </c>
    </row>
    <row r="74" spans="2:13" ht="31.5" customHeight="1" thickBot="1" x14ac:dyDescent="0.3">
      <c r="B74" s="913" t="s">
        <v>12</v>
      </c>
      <c r="C74" s="913"/>
      <c r="D74" s="878" t="s">
        <v>494</v>
      </c>
      <c r="E74" s="878"/>
      <c r="F74" s="573" t="s">
        <v>495</v>
      </c>
      <c r="G74" s="859" t="s">
        <v>497</v>
      </c>
      <c r="H74" s="859"/>
      <c r="I74" s="573">
        <v>0</v>
      </c>
      <c r="J74" s="573">
        <v>1</v>
      </c>
      <c r="K74" s="573">
        <v>0</v>
      </c>
      <c r="L74" s="573">
        <v>1</v>
      </c>
      <c r="M74" s="588">
        <v>0</v>
      </c>
    </row>
    <row r="75" spans="2:13" s="86" customFormat="1" ht="31.5" customHeight="1" x14ac:dyDescent="0.25">
      <c r="B75" s="913"/>
      <c r="C75" s="913"/>
      <c r="D75" s="915" t="s">
        <v>500</v>
      </c>
      <c r="E75" s="915"/>
      <c r="F75" s="540" t="s">
        <v>1125</v>
      </c>
      <c r="G75" s="801" t="s">
        <v>1124</v>
      </c>
      <c r="H75" s="801"/>
      <c r="I75" s="540">
        <v>0</v>
      </c>
      <c r="J75" s="540">
        <v>0</v>
      </c>
      <c r="K75" s="540">
        <v>0</v>
      </c>
      <c r="L75" s="540">
        <v>0</v>
      </c>
      <c r="M75" s="579">
        <v>3</v>
      </c>
    </row>
    <row r="76" spans="2:13" s="398" customFormat="1" ht="15.75" thickBot="1" x14ac:dyDescent="0.3">
      <c r="B76" s="888" t="s">
        <v>90</v>
      </c>
      <c r="C76" s="888"/>
      <c r="D76" s="888"/>
      <c r="E76" s="888"/>
      <c r="F76" s="888"/>
      <c r="G76" s="888"/>
      <c r="H76" s="888"/>
      <c r="I76" s="587">
        <f>SUM(I70:I75)</f>
        <v>0</v>
      </c>
      <c r="J76" s="587">
        <f t="shared" ref="J76:M76" si="1">SUM(J70:J75)</f>
        <v>1</v>
      </c>
      <c r="K76" s="587">
        <f t="shared" si="1"/>
        <v>0</v>
      </c>
      <c r="L76" s="587">
        <f t="shared" si="1"/>
        <v>1</v>
      </c>
      <c r="M76" s="587">
        <f t="shared" si="1"/>
        <v>3</v>
      </c>
    </row>
    <row r="77" spans="2:13" x14ac:dyDescent="0.25">
      <c r="B77" s="914" t="s">
        <v>13</v>
      </c>
      <c r="C77" s="914"/>
      <c r="D77" s="915" t="s">
        <v>64</v>
      </c>
      <c r="E77" s="915"/>
      <c r="F77" s="579" t="s">
        <v>64</v>
      </c>
      <c r="G77" s="916" t="s">
        <v>64</v>
      </c>
      <c r="H77" s="916"/>
      <c r="I77" s="579" t="s">
        <v>64</v>
      </c>
      <c r="J77" s="579" t="s">
        <v>64</v>
      </c>
      <c r="K77" s="579" t="s">
        <v>64</v>
      </c>
      <c r="L77" s="579" t="s">
        <v>64</v>
      </c>
      <c r="M77" s="579" t="s">
        <v>64</v>
      </c>
    </row>
    <row r="78" spans="2:13" s="398" customFormat="1" ht="15.75" thickBot="1" x14ac:dyDescent="0.3">
      <c r="B78" s="888" t="s">
        <v>90</v>
      </c>
      <c r="C78" s="888"/>
      <c r="D78" s="888"/>
      <c r="E78" s="888"/>
      <c r="F78" s="888"/>
      <c r="G78" s="888"/>
      <c r="H78" s="888"/>
      <c r="I78" s="587">
        <f>SUM(I77)</f>
        <v>0</v>
      </c>
      <c r="J78" s="587">
        <f>SUM(J77)</f>
        <v>0</v>
      </c>
      <c r="K78" s="587">
        <f t="shared" ref="K78:M78" si="2">SUM(K77)</f>
        <v>0</v>
      </c>
      <c r="L78" s="587">
        <f t="shared" si="2"/>
        <v>0</v>
      </c>
      <c r="M78" s="587">
        <f t="shared" si="2"/>
        <v>0</v>
      </c>
    </row>
    <row r="79" spans="2:13" x14ac:dyDescent="0.25">
      <c r="B79" s="832" t="s">
        <v>832</v>
      </c>
      <c r="C79" s="832"/>
      <c r="D79" s="55"/>
    </row>
    <row r="80" spans="2:13" x14ac:dyDescent="0.25">
      <c r="B80" s="50" t="s">
        <v>504</v>
      </c>
      <c r="C80" s="50"/>
      <c r="D80" s="398"/>
    </row>
    <row r="81" spans="2:16" x14ac:dyDescent="0.25">
      <c r="B81" s="41"/>
    </row>
    <row r="82" spans="2:16" x14ac:dyDescent="0.25">
      <c r="B82" s="41"/>
    </row>
    <row r="83" spans="2:16" s="86" customFormat="1" x14ac:dyDescent="0.25">
      <c r="B83" s="399" t="s">
        <v>905</v>
      </c>
      <c r="G83" s="51"/>
    </row>
    <row r="84" spans="2:16" s="86" customFormat="1" x14ac:dyDescent="0.25">
      <c r="B84" s="41"/>
      <c r="G84" s="51"/>
    </row>
    <row r="85" spans="2:16" x14ac:dyDescent="0.25">
      <c r="B85" s="88" t="s">
        <v>1191</v>
      </c>
    </row>
    <row r="86" spans="2:16" ht="15" customHeight="1" x14ac:dyDescent="0.25">
      <c r="B86" s="667" t="s">
        <v>2</v>
      </c>
      <c r="C86" s="667"/>
      <c r="D86" s="667" t="s">
        <v>505</v>
      </c>
      <c r="E86" s="667"/>
      <c r="F86" s="667" t="s">
        <v>1340</v>
      </c>
      <c r="G86" s="667"/>
      <c r="H86" s="667" t="s">
        <v>1341</v>
      </c>
      <c r="I86" s="667"/>
      <c r="J86" s="667" t="s">
        <v>506</v>
      </c>
      <c r="K86" s="667"/>
    </row>
    <row r="87" spans="2:16" ht="15.75" thickBot="1" x14ac:dyDescent="0.3">
      <c r="B87" s="919" t="s">
        <v>12</v>
      </c>
      <c r="C87" s="919"/>
      <c r="D87" s="804">
        <v>43</v>
      </c>
      <c r="E87" s="804"/>
      <c r="F87" s="923">
        <v>1</v>
      </c>
      <c r="G87" s="923"/>
      <c r="H87" s="923">
        <v>1</v>
      </c>
      <c r="I87" s="923"/>
      <c r="J87" s="918">
        <v>1</v>
      </c>
      <c r="K87" s="918"/>
    </row>
    <row r="88" spans="2:16" ht="15.75" thickBot="1" x14ac:dyDescent="0.3">
      <c r="B88" s="920" t="s">
        <v>13</v>
      </c>
      <c r="C88" s="920"/>
      <c r="D88" s="921">
        <v>51</v>
      </c>
      <c r="E88" s="921"/>
      <c r="F88" s="922">
        <v>1</v>
      </c>
      <c r="G88" s="922"/>
      <c r="H88" s="922">
        <v>1</v>
      </c>
      <c r="I88" s="922"/>
      <c r="J88" s="917">
        <v>1</v>
      </c>
      <c r="K88" s="917"/>
    </row>
    <row r="89" spans="2:16" x14ac:dyDescent="0.25">
      <c r="B89" s="44" t="s">
        <v>832</v>
      </c>
      <c r="C89" s="44"/>
      <c r="E89" s="60"/>
      <c r="F89" s="61"/>
    </row>
    <row r="90" spans="2:16" x14ac:dyDescent="0.25">
      <c r="B90" s="842" t="s">
        <v>473</v>
      </c>
      <c r="C90" s="842"/>
      <c r="D90" s="842"/>
    </row>
    <row r="91" spans="2:16" x14ac:dyDescent="0.25">
      <c r="B91" s="44"/>
      <c r="C91" s="44"/>
      <c r="D91" s="44"/>
    </row>
    <row r="92" spans="2:16" x14ac:dyDescent="0.25">
      <c r="C92" s="44"/>
      <c r="D92" s="44"/>
    </row>
    <row r="93" spans="2:16" x14ac:dyDescent="0.25">
      <c r="B93" s="88" t="s">
        <v>1192</v>
      </c>
      <c r="C93" s="72"/>
      <c r="D93" s="72"/>
    </row>
    <row r="94" spans="2:16" s="398" customFormat="1" ht="15" customHeight="1" x14ac:dyDescent="0.25">
      <c r="B94" s="88"/>
      <c r="C94" s="72"/>
      <c r="D94" s="72"/>
      <c r="G94" s="667" t="s">
        <v>12</v>
      </c>
      <c r="H94" s="667"/>
      <c r="I94" s="667"/>
      <c r="J94" s="667"/>
      <c r="K94" s="667"/>
      <c r="L94" s="667" t="s">
        <v>13</v>
      </c>
      <c r="M94" s="667"/>
      <c r="N94" s="667"/>
      <c r="O94" s="667"/>
      <c r="P94" s="667"/>
    </row>
    <row r="95" spans="2:16" ht="33" customHeight="1" x14ac:dyDescent="0.25">
      <c r="B95" s="666" t="s">
        <v>507</v>
      </c>
      <c r="C95" s="666"/>
      <c r="D95" s="666" t="s">
        <v>37</v>
      </c>
      <c r="E95" s="666"/>
      <c r="F95" s="666"/>
      <c r="G95" s="657" t="s">
        <v>862</v>
      </c>
      <c r="H95" s="657" t="s">
        <v>863</v>
      </c>
      <c r="I95" s="657" t="s">
        <v>864</v>
      </c>
      <c r="J95" s="667" t="s">
        <v>865</v>
      </c>
      <c r="K95" s="930"/>
      <c r="L95" s="657" t="s">
        <v>862</v>
      </c>
      <c r="M95" s="657" t="s">
        <v>863</v>
      </c>
      <c r="N95" s="657" t="s">
        <v>864</v>
      </c>
      <c r="O95" s="667" t="s">
        <v>865</v>
      </c>
      <c r="P95" s="667"/>
    </row>
    <row r="96" spans="2:16" ht="52.5" customHeight="1" thickBot="1" x14ac:dyDescent="0.3">
      <c r="B96" s="926" t="s">
        <v>508</v>
      </c>
      <c r="C96" s="926"/>
      <c r="D96" s="903" t="s">
        <v>842</v>
      </c>
      <c r="E96" s="903"/>
      <c r="F96" s="903"/>
      <c r="G96" s="606" t="s">
        <v>889</v>
      </c>
      <c r="H96" s="606" t="s">
        <v>541</v>
      </c>
      <c r="I96" s="606" t="s">
        <v>575</v>
      </c>
      <c r="J96" s="900" t="s">
        <v>856</v>
      </c>
      <c r="K96" s="928"/>
      <c r="L96" s="606" t="s">
        <v>866</v>
      </c>
      <c r="M96" s="606" t="s">
        <v>867</v>
      </c>
      <c r="N96" s="606" t="s">
        <v>868</v>
      </c>
      <c r="O96" s="900" t="s">
        <v>869</v>
      </c>
      <c r="P96" s="900"/>
    </row>
    <row r="97" spans="2:16" ht="31.5" customHeight="1" thickBot="1" x14ac:dyDescent="0.3">
      <c r="B97" s="927"/>
      <c r="C97" s="927"/>
      <c r="D97" s="903" t="s">
        <v>843</v>
      </c>
      <c r="E97" s="903"/>
      <c r="F97" s="903"/>
      <c r="G97" s="606" t="s">
        <v>890</v>
      </c>
      <c r="H97" s="606" t="s">
        <v>546</v>
      </c>
      <c r="I97" s="606" t="s">
        <v>575</v>
      </c>
      <c r="J97" s="900" t="s">
        <v>857</v>
      </c>
      <c r="K97" s="928"/>
      <c r="L97" s="606" t="s">
        <v>870</v>
      </c>
      <c r="M97" s="606" t="s">
        <v>871</v>
      </c>
      <c r="N97" s="606" t="s">
        <v>871</v>
      </c>
      <c r="O97" s="900" t="s">
        <v>872</v>
      </c>
      <c r="P97" s="900"/>
    </row>
    <row r="98" spans="2:16" ht="31.5" customHeight="1" thickBot="1" x14ac:dyDescent="0.3">
      <c r="B98" s="927"/>
      <c r="C98" s="927"/>
      <c r="D98" s="903" t="s">
        <v>847</v>
      </c>
      <c r="E98" s="903"/>
      <c r="F98" s="903"/>
      <c r="G98" s="606">
        <v>3.98</v>
      </c>
      <c r="H98" s="606">
        <v>4</v>
      </c>
      <c r="I98" s="606">
        <v>6</v>
      </c>
      <c r="J98" s="900">
        <v>4.66</v>
      </c>
      <c r="K98" s="928"/>
      <c r="L98" s="606">
        <v>4.91</v>
      </c>
      <c r="M98" s="606">
        <v>5.49</v>
      </c>
      <c r="N98" s="606">
        <v>5.64</v>
      </c>
      <c r="O98" s="900">
        <v>5.35</v>
      </c>
      <c r="P98" s="900"/>
    </row>
    <row r="99" spans="2:16" ht="42" customHeight="1" thickBot="1" x14ac:dyDescent="0.3">
      <c r="B99" s="927"/>
      <c r="C99" s="927"/>
      <c r="D99" s="903" t="s">
        <v>841</v>
      </c>
      <c r="E99" s="903"/>
      <c r="F99" s="903"/>
      <c r="G99" s="606">
        <v>4.0199999999999996</v>
      </c>
      <c r="H99" s="606">
        <v>4.1500000000000004</v>
      </c>
      <c r="I99" s="606">
        <v>6.8</v>
      </c>
      <c r="J99" s="900">
        <v>4.99</v>
      </c>
      <c r="K99" s="928"/>
      <c r="L99" s="606">
        <v>4.93</v>
      </c>
      <c r="M99" s="606">
        <v>6.02</v>
      </c>
      <c r="N99" s="606">
        <v>5.57</v>
      </c>
      <c r="O99" s="900">
        <v>5.51</v>
      </c>
      <c r="P99" s="900"/>
    </row>
    <row r="100" spans="2:16" ht="31.5" customHeight="1" thickBot="1" x14ac:dyDescent="0.3">
      <c r="B100" s="927"/>
      <c r="C100" s="927"/>
      <c r="D100" s="903" t="s">
        <v>844</v>
      </c>
      <c r="E100" s="903"/>
      <c r="F100" s="903"/>
      <c r="G100" s="606">
        <v>3.83</v>
      </c>
      <c r="H100" s="606">
        <v>3.85</v>
      </c>
      <c r="I100" s="606">
        <v>6.4</v>
      </c>
      <c r="J100" s="900">
        <v>4.6900000000000004</v>
      </c>
      <c r="K100" s="928"/>
      <c r="L100" s="606">
        <v>5</v>
      </c>
      <c r="M100" s="606">
        <v>5.8</v>
      </c>
      <c r="N100" s="606">
        <v>5.21</v>
      </c>
      <c r="O100" s="900">
        <v>5.34</v>
      </c>
      <c r="P100" s="900"/>
    </row>
    <row r="101" spans="2:16" ht="42" customHeight="1" thickBot="1" x14ac:dyDescent="0.3">
      <c r="B101" s="927"/>
      <c r="C101" s="927"/>
      <c r="D101" s="903" t="s">
        <v>845</v>
      </c>
      <c r="E101" s="903"/>
      <c r="F101" s="903"/>
      <c r="G101" s="606">
        <v>4.12</v>
      </c>
      <c r="H101" s="606">
        <v>4</v>
      </c>
      <c r="I101" s="606">
        <v>6.4</v>
      </c>
      <c r="J101" s="900">
        <v>4.84</v>
      </c>
      <c r="K101" s="928"/>
      <c r="L101" s="606">
        <v>4.5999999999999996</v>
      </c>
      <c r="M101" s="606">
        <v>5.83</v>
      </c>
      <c r="N101" s="606">
        <v>5.43</v>
      </c>
      <c r="O101" s="900">
        <v>5.29</v>
      </c>
      <c r="P101" s="900"/>
    </row>
    <row r="102" spans="2:16" ht="15" customHeight="1" thickBot="1" x14ac:dyDescent="0.3">
      <c r="B102" s="927"/>
      <c r="C102" s="927"/>
      <c r="D102" s="903" t="s">
        <v>846</v>
      </c>
      <c r="E102" s="903"/>
      <c r="F102" s="903"/>
      <c r="G102" s="606">
        <v>3.5</v>
      </c>
      <c r="H102" s="606">
        <v>3.77</v>
      </c>
      <c r="I102" s="606">
        <v>5.4</v>
      </c>
      <c r="J102" s="900">
        <v>4.22</v>
      </c>
      <c r="K102" s="928"/>
      <c r="L102" s="606">
        <v>4.74</v>
      </c>
      <c r="M102" s="606">
        <v>5.15</v>
      </c>
      <c r="N102" s="606"/>
      <c r="O102" s="900"/>
      <c r="P102" s="900"/>
    </row>
    <row r="103" spans="2:16" s="86" customFormat="1" ht="31.5" customHeight="1" thickBot="1" x14ac:dyDescent="0.3">
      <c r="B103" s="927"/>
      <c r="C103" s="927"/>
      <c r="D103" s="903" t="s">
        <v>848</v>
      </c>
      <c r="E103" s="903"/>
      <c r="F103" s="903"/>
      <c r="G103" s="606">
        <v>4.76</v>
      </c>
      <c r="H103" s="606">
        <v>3.85</v>
      </c>
      <c r="I103" s="606">
        <v>6.4</v>
      </c>
      <c r="J103" s="900">
        <v>5</v>
      </c>
      <c r="K103" s="928"/>
      <c r="L103" s="606">
        <v>5</v>
      </c>
      <c r="M103" s="606">
        <v>5.8</v>
      </c>
      <c r="N103" s="606">
        <v>5.36</v>
      </c>
      <c r="O103" s="900">
        <v>5.39</v>
      </c>
      <c r="P103" s="900"/>
    </row>
    <row r="104" spans="2:16" ht="31.5" customHeight="1" thickBot="1" x14ac:dyDescent="0.3">
      <c r="B104" s="927"/>
      <c r="C104" s="927"/>
      <c r="D104" s="903" t="s">
        <v>849</v>
      </c>
      <c r="E104" s="903"/>
      <c r="F104" s="903"/>
      <c r="G104" s="606" t="s">
        <v>891</v>
      </c>
      <c r="H104" s="606" t="s">
        <v>892</v>
      </c>
      <c r="I104" s="606" t="s">
        <v>893</v>
      </c>
      <c r="J104" s="900" t="s">
        <v>858</v>
      </c>
      <c r="K104" s="928"/>
      <c r="L104" s="606" t="s">
        <v>874</v>
      </c>
      <c r="M104" s="606" t="s">
        <v>875</v>
      </c>
      <c r="N104" s="606" t="s">
        <v>876</v>
      </c>
      <c r="O104" s="900" t="s">
        <v>873</v>
      </c>
      <c r="P104" s="900"/>
    </row>
    <row r="105" spans="2:16" ht="31.5" customHeight="1" thickBot="1" x14ac:dyDescent="0.3">
      <c r="B105" s="925"/>
      <c r="C105" s="925"/>
      <c r="D105" s="904" t="s">
        <v>850</v>
      </c>
      <c r="E105" s="904"/>
      <c r="F105" s="904"/>
      <c r="G105" s="592" t="s">
        <v>575</v>
      </c>
      <c r="H105" s="592" t="s">
        <v>572</v>
      </c>
      <c r="I105" s="592" t="s">
        <v>1119</v>
      </c>
      <c r="J105" s="901" t="s">
        <v>1120</v>
      </c>
      <c r="K105" s="929"/>
      <c r="L105" s="592" t="s">
        <v>1121</v>
      </c>
      <c r="M105" s="592" t="s">
        <v>868</v>
      </c>
      <c r="N105" s="592" t="s">
        <v>575</v>
      </c>
      <c r="O105" s="901" t="s">
        <v>1122</v>
      </c>
      <c r="P105" s="901"/>
    </row>
    <row r="106" spans="2:16" ht="52.5" customHeight="1" thickBot="1" x14ac:dyDescent="0.3">
      <c r="B106" s="924" t="s">
        <v>509</v>
      </c>
      <c r="C106" s="924"/>
      <c r="D106" s="903" t="s">
        <v>510</v>
      </c>
      <c r="E106" s="903"/>
      <c r="F106" s="903"/>
      <c r="G106" s="606">
        <v>5.29</v>
      </c>
      <c r="H106" s="606">
        <v>4.83</v>
      </c>
      <c r="I106" s="606">
        <v>6.1</v>
      </c>
      <c r="J106" s="900">
        <v>5.4</v>
      </c>
      <c r="K106" s="928"/>
      <c r="L106" s="606">
        <v>5.49</v>
      </c>
      <c r="M106" s="606">
        <v>5.7</v>
      </c>
      <c r="N106" s="606">
        <v>5.64</v>
      </c>
      <c r="O106" s="900">
        <v>5.61</v>
      </c>
      <c r="P106" s="900"/>
    </row>
    <row r="107" spans="2:16" ht="42" customHeight="1" thickBot="1" x14ac:dyDescent="0.3">
      <c r="B107" s="927"/>
      <c r="C107" s="927"/>
      <c r="D107" s="903" t="s">
        <v>511</v>
      </c>
      <c r="E107" s="903"/>
      <c r="F107" s="903"/>
      <c r="G107" s="606">
        <v>5.32</v>
      </c>
      <c r="H107" s="606">
        <v>4.93</v>
      </c>
      <c r="I107" s="606">
        <v>6.25</v>
      </c>
      <c r="J107" s="900">
        <v>5.5</v>
      </c>
      <c r="K107" s="928"/>
      <c r="L107" s="606">
        <v>5.3</v>
      </c>
      <c r="M107" s="606">
        <v>5.68</v>
      </c>
      <c r="N107" s="606">
        <v>5.57</v>
      </c>
      <c r="O107" s="900">
        <v>5.52</v>
      </c>
      <c r="P107" s="900"/>
    </row>
    <row r="108" spans="2:16" ht="52.5" customHeight="1" thickBot="1" x14ac:dyDescent="0.3">
      <c r="B108" s="927"/>
      <c r="C108" s="927"/>
      <c r="D108" s="903" t="s">
        <v>512</v>
      </c>
      <c r="E108" s="903"/>
      <c r="F108" s="903"/>
      <c r="G108" s="606">
        <v>5.39</v>
      </c>
      <c r="H108" s="606">
        <v>5.08</v>
      </c>
      <c r="I108" s="606">
        <v>6.45</v>
      </c>
      <c r="J108" s="900">
        <v>5.64</v>
      </c>
      <c r="K108" s="928"/>
      <c r="L108" s="606">
        <v>5.15</v>
      </c>
      <c r="M108" s="606">
        <v>5.52</v>
      </c>
      <c r="N108" s="606">
        <v>5.45</v>
      </c>
      <c r="O108" s="900">
        <v>5.37</v>
      </c>
      <c r="P108" s="900"/>
    </row>
    <row r="109" spans="2:16" ht="42" customHeight="1" thickBot="1" x14ac:dyDescent="0.3">
      <c r="B109" s="925"/>
      <c r="C109" s="925"/>
      <c r="D109" s="904" t="s">
        <v>513</v>
      </c>
      <c r="E109" s="904"/>
      <c r="F109" s="904"/>
      <c r="G109" s="593">
        <v>5.53</v>
      </c>
      <c r="H109" s="593">
        <v>5.1100000000000003</v>
      </c>
      <c r="I109" s="593">
        <v>6.5</v>
      </c>
      <c r="J109" s="905">
        <v>5.71</v>
      </c>
      <c r="K109" s="906"/>
      <c r="L109" s="593">
        <v>5.08</v>
      </c>
      <c r="M109" s="593">
        <v>5.5</v>
      </c>
      <c r="N109" s="593">
        <v>5.29</v>
      </c>
      <c r="O109" s="901">
        <v>5.29</v>
      </c>
      <c r="P109" s="901"/>
    </row>
    <row r="110" spans="2:16" ht="42" customHeight="1" thickBot="1" x14ac:dyDescent="0.3">
      <c r="B110" s="924" t="s">
        <v>514</v>
      </c>
      <c r="C110" s="924"/>
      <c r="D110" s="903" t="s">
        <v>851</v>
      </c>
      <c r="E110" s="903"/>
      <c r="F110" s="903"/>
      <c r="G110" s="606" t="s">
        <v>898</v>
      </c>
      <c r="H110" s="606" t="s">
        <v>553</v>
      </c>
      <c r="I110" s="606" t="s">
        <v>572</v>
      </c>
      <c r="J110" s="900" t="s">
        <v>515</v>
      </c>
      <c r="K110" s="928"/>
      <c r="L110" s="606" t="s">
        <v>899</v>
      </c>
      <c r="M110" s="606" t="s">
        <v>900</v>
      </c>
      <c r="N110" s="606" t="s">
        <v>831</v>
      </c>
      <c r="O110" s="900" t="s">
        <v>901</v>
      </c>
      <c r="P110" s="900"/>
    </row>
    <row r="111" spans="2:16" ht="42" customHeight="1" thickBot="1" x14ac:dyDescent="0.3">
      <c r="B111" s="925"/>
      <c r="C111" s="925"/>
      <c r="D111" s="904" t="s">
        <v>516</v>
      </c>
      <c r="E111" s="904"/>
      <c r="F111" s="904"/>
      <c r="G111" s="592" t="s">
        <v>831</v>
      </c>
      <c r="H111" s="592" t="s">
        <v>546</v>
      </c>
      <c r="I111" s="592" t="s">
        <v>572</v>
      </c>
      <c r="J111" s="901" t="s">
        <v>517</v>
      </c>
      <c r="K111" s="929"/>
      <c r="L111" s="592" t="s">
        <v>886</v>
      </c>
      <c r="M111" s="592" t="s">
        <v>887</v>
      </c>
      <c r="N111" s="592" t="s">
        <v>868</v>
      </c>
      <c r="O111" s="901" t="s">
        <v>888</v>
      </c>
      <c r="P111" s="901"/>
    </row>
    <row r="112" spans="2:16" s="86" customFormat="1" ht="52.5" customHeight="1" thickBot="1" x14ac:dyDescent="0.3">
      <c r="B112" s="927" t="s">
        <v>852</v>
      </c>
      <c r="C112" s="927"/>
      <c r="D112" s="903" t="s">
        <v>854</v>
      </c>
      <c r="E112" s="903"/>
      <c r="F112" s="903"/>
      <c r="G112" s="606" t="s">
        <v>894</v>
      </c>
      <c r="H112" s="606" t="s">
        <v>546</v>
      </c>
      <c r="I112" s="606" t="s">
        <v>895</v>
      </c>
      <c r="J112" s="900" t="s">
        <v>859</v>
      </c>
      <c r="K112" s="928"/>
      <c r="L112" s="606" t="s">
        <v>877</v>
      </c>
      <c r="M112" s="606" t="s">
        <v>878</v>
      </c>
      <c r="N112" s="606" t="s">
        <v>876</v>
      </c>
      <c r="O112" s="900" t="s">
        <v>879</v>
      </c>
      <c r="P112" s="900"/>
    </row>
    <row r="113" spans="1:18" s="86" customFormat="1" ht="42" customHeight="1" thickBot="1" x14ac:dyDescent="0.3">
      <c r="B113" s="927"/>
      <c r="C113" s="927"/>
      <c r="D113" s="903" t="s">
        <v>855</v>
      </c>
      <c r="E113" s="903"/>
      <c r="F113" s="903"/>
      <c r="G113" s="606" t="s">
        <v>896</v>
      </c>
      <c r="H113" s="606" t="s">
        <v>892</v>
      </c>
      <c r="I113" s="606" t="s">
        <v>895</v>
      </c>
      <c r="J113" s="900" t="s">
        <v>860</v>
      </c>
      <c r="K113" s="928"/>
      <c r="L113" s="606" t="s">
        <v>880</v>
      </c>
      <c r="M113" s="606" t="s">
        <v>1338</v>
      </c>
      <c r="N113" s="606" t="s">
        <v>881</v>
      </c>
      <c r="O113" s="900" t="s">
        <v>882</v>
      </c>
      <c r="P113" s="900"/>
    </row>
    <row r="114" spans="1:18" s="86" customFormat="1" ht="31.5" customHeight="1" thickBot="1" x14ac:dyDescent="0.3">
      <c r="B114" s="927"/>
      <c r="C114" s="927"/>
      <c r="D114" s="903" t="s">
        <v>853</v>
      </c>
      <c r="E114" s="903"/>
      <c r="F114" s="903"/>
      <c r="G114" s="606" t="s">
        <v>575</v>
      </c>
      <c r="H114" s="606" t="s">
        <v>897</v>
      </c>
      <c r="I114" s="606" t="s">
        <v>64</v>
      </c>
      <c r="J114" s="900" t="s">
        <v>861</v>
      </c>
      <c r="K114" s="928"/>
      <c r="L114" s="606" t="s">
        <v>883</v>
      </c>
      <c r="M114" s="606" t="s">
        <v>1339</v>
      </c>
      <c r="N114" s="606" t="s">
        <v>884</v>
      </c>
      <c r="O114" s="900" t="s">
        <v>885</v>
      </c>
      <c r="P114" s="900"/>
    </row>
    <row r="115" spans="1:18" s="398" customFormat="1" ht="31.5" customHeight="1" thickBot="1" x14ac:dyDescent="0.3">
      <c r="B115" s="925"/>
      <c r="C115" s="925"/>
      <c r="D115" s="904" t="s">
        <v>1337</v>
      </c>
      <c r="E115" s="904"/>
      <c r="F115" s="904"/>
      <c r="G115" s="592">
        <v>6.5</v>
      </c>
      <c r="H115" s="592">
        <v>4.2300000000000004</v>
      </c>
      <c r="I115" s="592">
        <v>9.1999999999999993</v>
      </c>
      <c r="J115" s="931">
        <v>6.64</v>
      </c>
      <c r="K115" s="932"/>
      <c r="L115" s="592">
        <v>6.36</v>
      </c>
      <c r="M115" s="592">
        <v>7.32</v>
      </c>
      <c r="N115" s="592">
        <v>7.36</v>
      </c>
      <c r="O115" s="901">
        <v>7.01</v>
      </c>
      <c r="P115" s="901"/>
    </row>
    <row r="116" spans="1:18" ht="15" customHeight="1" x14ac:dyDescent="0.25">
      <c r="B116" s="832" t="s">
        <v>832</v>
      </c>
      <c r="C116" s="832"/>
      <c r="L116" s="589"/>
      <c r="M116" s="589"/>
      <c r="N116" s="589"/>
      <c r="O116" s="21"/>
    </row>
    <row r="117" spans="1:18" x14ac:dyDescent="0.25">
      <c r="B117" s="542" t="s">
        <v>518</v>
      </c>
      <c r="C117" s="389"/>
      <c r="D117" s="389"/>
      <c r="E117" s="389"/>
      <c r="F117" s="389"/>
      <c r="G117" s="389"/>
      <c r="H117" s="590"/>
      <c r="I117" s="590"/>
      <c r="J117" s="590"/>
      <c r="K117" s="590"/>
      <c r="L117" s="902"/>
      <c r="M117" s="902"/>
      <c r="N117" s="902"/>
      <c r="O117" s="902"/>
      <c r="P117" s="389"/>
    </row>
    <row r="118" spans="1:18" x14ac:dyDescent="0.25">
      <c r="B118" s="542" t="s">
        <v>906</v>
      </c>
      <c r="C118" s="389"/>
      <c r="D118" s="389"/>
      <c r="E118" s="389"/>
      <c r="F118" s="389"/>
      <c r="G118" s="389"/>
      <c r="H118" s="590"/>
      <c r="I118" s="590"/>
      <c r="J118" s="590"/>
      <c r="K118" s="590"/>
      <c r="L118" s="590"/>
      <c r="M118" s="590"/>
      <c r="N118" s="590"/>
      <c r="O118" s="590"/>
      <c r="P118" s="389"/>
      <c r="R118" s="488"/>
    </row>
    <row r="119" spans="1:18" x14ac:dyDescent="0.25">
      <c r="B119" s="542" t="s">
        <v>907</v>
      </c>
      <c r="C119" s="389"/>
      <c r="D119" s="389"/>
      <c r="E119" s="389"/>
      <c r="F119" s="389"/>
      <c r="G119" s="389"/>
      <c r="H119" s="590"/>
      <c r="I119" s="590"/>
      <c r="J119" s="590"/>
      <c r="K119" s="590"/>
      <c r="L119" s="590"/>
      <c r="M119" s="83"/>
      <c r="N119" s="590"/>
      <c r="O119" s="83"/>
      <c r="P119" s="83"/>
    </row>
    <row r="120" spans="1:18" x14ac:dyDescent="0.25">
      <c r="B120" s="541"/>
      <c r="C120" s="389"/>
      <c r="D120" s="389"/>
      <c r="E120" s="389"/>
      <c r="F120" s="389"/>
      <c r="G120" s="389"/>
      <c r="H120" s="590"/>
      <c r="I120" s="590"/>
      <c r="J120" s="590"/>
      <c r="K120" s="590"/>
      <c r="L120" s="902"/>
      <c r="M120" s="902"/>
      <c r="N120" s="902"/>
      <c r="O120" s="902"/>
      <c r="P120" s="389"/>
    </row>
    <row r="121" spans="1:18" x14ac:dyDescent="0.25">
      <c r="B121" s="388"/>
      <c r="C121" s="389"/>
      <c r="D121" s="389"/>
      <c r="E121" s="389"/>
      <c r="F121" s="389"/>
      <c r="G121" s="389"/>
      <c r="H121" s="902"/>
      <c r="I121" s="902"/>
      <c r="J121" s="389"/>
      <c r="K121" s="389"/>
      <c r="L121" s="902"/>
      <c r="M121" s="902"/>
      <c r="N121" s="902"/>
      <c r="O121" s="902"/>
      <c r="P121" s="389"/>
    </row>
    <row r="122" spans="1:18" ht="15" customHeight="1" x14ac:dyDescent="0.25">
      <c r="A122" s="487"/>
      <c r="B122" s="388" t="s">
        <v>1351</v>
      </c>
      <c r="C122" s="388"/>
      <c r="D122" s="388"/>
      <c r="E122" s="388"/>
      <c r="F122" s="388"/>
      <c r="G122" s="388"/>
      <c r="H122" s="388"/>
      <c r="I122" s="388"/>
      <c r="J122" s="389"/>
      <c r="K122" s="389"/>
      <c r="L122" s="902"/>
      <c r="M122" s="902"/>
      <c r="N122" s="902"/>
      <c r="O122" s="902"/>
      <c r="P122" s="389"/>
    </row>
    <row r="123" spans="1:18" x14ac:dyDescent="0.25">
      <c r="B123" s="897" t="s">
        <v>2</v>
      </c>
      <c r="C123" s="897"/>
      <c r="D123" s="603" t="s">
        <v>521</v>
      </c>
      <c r="E123" s="603" t="s">
        <v>382</v>
      </c>
      <c r="F123" s="603" t="s">
        <v>519</v>
      </c>
      <c r="I123" s="590"/>
      <c r="J123" s="590"/>
      <c r="K123" s="590"/>
      <c r="L123" s="902"/>
      <c r="M123" s="902"/>
      <c r="N123" s="902"/>
      <c r="O123" s="902"/>
      <c r="P123" s="389"/>
    </row>
    <row r="124" spans="1:18" ht="15" customHeight="1" thickBot="1" x14ac:dyDescent="0.3">
      <c r="B124" s="898" t="s">
        <v>12</v>
      </c>
      <c r="C124" s="898"/>
      <c r="D124" s="611">
        <v>40</v>
      </c>
      <c r="E124" s="611">
        <v>34</v>
      </c>
      <c r="F124" s="596">
        <f>E124/D124</f>
        <v>0.85</v>
      </c>
      <c r="I124" s="389"/>
      <c r="J124" s="389"/>
      <c r="K124" s="389"/>
      <c r="L124" s="902"/>
      <c r="M124" s="902"/>
      <c r="N124" s="902"/>
      <c r="O124" s="902"/>
      <c r="P124" s="389"/>
    </row>
    <row r="125" spans="1:18" s="86" customFormat="1" ht="15" customHeight="1" thickBot="1" x14ac:dyDescent="0.3">
      <c r="B125" s="899" t="s">
        <v>13</v>
      </c>
      <c r="C125" s="899"/>
      <c r="D125" s="646">
        <v>59</v>
      </c>
      <c r="E125" s="646">
        <v>59</v>
      </c>
      <c r="F125" s="597">
        <f>E125/D125</f>
        <v>1</v>
      </c>
      <c r="I125" s="590"/>
      <c r="J125" s="590"/>
      <c r="K125" s="590"/>
      <c r="L125" s="902"/>
      <c r="M125" s="902"/>
      <c r="N125" s="902"/>
      <c r="O125" s="902"/>
      <c r="P125" s="389"/>
    </row>
    <row r="126" spans="1:18" s="398" customFormat="1" ht="15" customHeight="1" x14ac:dyDescent="0.25">
      <c r="B126" s="595"/>
      <c r="C126" s="595"/>
      <c r="D126" s="591"/>
      <c r="E126" s="591"/>
      <c r="F126" s="389"/>
      <c r="I126" s="590"/>
      <c r="J126" s="590"/>
      <c r="K126" s="590"/>
      <c r="L126" s="83"/>
      <c r="M126" s="83"/>
      <c r="N126" s="83"/>
      <c r="O126" s="83"/>
      <c r="P126" s="389"/>
    </row>
    <row r="127" spans="1:18" x14ac:dyDescent="0.25">
      <c r="B127" s="541"/>
      <c r="C127" s="543"/>
      <c r="D127" s="543"/>
      <c r="E127" s="389"/>
      <c r="F127" s="389"/>
      <c r="G127" s="389"/>
      <c r="H127" s="83"/>
      <c r="I127" s="590"/>
      <c r="J127" s="590"/>
      <c r="K127" s="590"/>
      <c r="L127" s="902"/>
      <c r="M127" s="902"/>
      <c r="N127" s="902"/>
      <c r="O127" s="902"/>
      <c r="P127" s="389"/>
    </row>
    <row r="128" spans="1:18" ht="15" customHeight="1" x14ac:dyDescent="0.25">
      <c r="B128" s="544"/>
      <c r="D128" s="893" t="s">
        <v>520</v>
      </c>
      <c r="E128" s="893"/>
      <c r="F128" s="893"/>
      <c r="G128" s="893"/>
      <c r="I128" s="83"/>
      <c r="J128" s="389"/>
      <c r="K128" s="389"/>
      <c r="L128" s="902"/>
      <c r="M128" s="902"/>
      <c r="N128" s="902"/>
      <c r="O128" s="902"/>
      <c r="P128" s="389"/>
    </row>
    <row r="129" spans="2:21" ht="36.75" customHeight="1" x14ac:dyDescent="0.25">
      <c r="B129" s="893" t="s">
        <v>1352</v>
      </c>
      <c r="C129" s="893"/>
      <c r="D129" s="893" t="s">
        <v>12</v>
      </c>
      <c r="E129" s="893"/>
      <c r="F129" s="893" t="s">
        <v>13</v>
      </c>
      <c r="G129" s="893"/>
      <c r="H129" s="539"/>
      <c r="I129" s="590"/>
      <c r="J129" s="590"/>
      <c r="K129" s="590"/>
      <c r="L129" s="590"/>
      <c r="M129" s="590"/>
      <c r="N129" s="590"/>
      <c r="O129" s="590"/>
      <c r="P129" s="389"/>
      <c r="Q129" s="398"/>
      <c r="R129" s="398"/>
      <c r="S129" s="398"/>
      <c r="T129" s="398"/>
      <c r="U129" s="398"/>
    </row>
    <row r="130" spans="2:21" ht="24.75" customHeight="1" thickBot="1" x14ac:dyDescent="0.3">
      <c r="B130" s="894" t="s">
        <v>522</v>
      </c>
      <c r="C130" s="894"/>
      <c r="D130" s="895">
        <v>5.82</v>
      </c>
      <c r="E130" s="895"/>
      <c r="F130" s="895">
        <v>5.53</v>
      </c>
      <c r="G130" s="895"/>
      <c r="H130" s="539"/>
      <c r="I130" s="590"/>
      <c r="J130" s="590"/>
      <c r="K130" s="590"/>
      <c r="L130" s="590"/>
      <c r="M130" s="590"/>
      <c r="N130" s="590"/>
      <c r="O130" s="590"/>
      <c r="P130" s="389"/>
      <c r="Q130" s="398"/>
      <c r="R130" s="398"/>
      <c r="S130" s="398"/>
      <c r="T130" s="398"/>
      <c r="U130" s="398"/>
    </row>
    <row r="131" spans="2:21" ht="38.25" customHeight="1" thickBot="1" x14ac:dyDescent="0.3">
      <c r="B131" s="894" t="s">
        <v>523</v>
      </c>
      <c r="C131" s="894"/>
      <c r="D131" s="895">
        <v>6.03</v>
      </c>
      <c r="E131" s="895"/>
      <c r="F131" s="895">
        <v>5.68</v>
      </c>
      <c r="G131" s="895"/>
      <c r="H131" s="539"/>
      <c r="I131" s="590"/>
      <c r="J131" s="389"/>
      <c r="K131" s="389"/>
      <c r="L131" s="590"/>
      <c r="M131" s="590"/>
      <c r="N131" s="590"/>
      <c r="O131" s="590"/>
      <c r="P131" s="389"/>
      <c r="Q131" s="398"/>
      <c r="R131" s="398"/>
      <c r="S131" s="398"/>
      <c r="T131" s="398"/>
      <c r="U131" s="398"/>
    </row>
    <row r="132" spans="2:21" ht="40.5" customHeight="1" thickBot="1" x14ac:dyDescent="0.3">
      <c r="B132" s="894" t="s">
        <v>524</v>
      </c>
      <c r="C132" s="894"/>
      <c r="D132" s="895">
        <v>5.66</v>
      </c>
      <c r="E132" s="895"/>
      <c r="F132" s="895">
        <v>5.32</v>
      </c>
      <c r="G132" s="895"/>
      <c r="H132" s="539"/>
      <c r="I132" s="590"/>
      <c r="J132" s="590"/>
      <c r="K132" s="590"/>
      <c r="L132" s="590"/>
      <c r="M132" s="590"/>
      <c r="N132" s="590"/>
      <c r="O132" s="590"/>
      <c r="P132" s="389"/>
      <c r="Q132" s="398"/>
      <c r="R132" s="398"/>
      <c r="S132" s="398"/>
      <c r="T132" s="398"/>
      <c r="U132" s="398"/>
    </row>
    <row r="133" spans="2:21" ht="48" customHeight="1" thickBot="1" x14ac:dyDescent="0.3">
      <c r="B133" s="894" t="s">
        <v>525</v>
      </c>
      <c r="C133" s="894"/>
      <c r="D133" s="895">
        <v>5.56</v>
      </c>
      <c r="E133" s="895"/>
      <c r="F133" s="895">
        <v>3.93</v>
      </c>
      <c r="G133" s="895"/>
      <c r="H133" s="539"/>
      <c r="I133" s="590"/>
      <c r="J133" s="590"/>
      <c r="K133" s="590"/>
      <c r="L133" s="590"/>
      <c r="M133" s="590"/>
      <c r="N133" s="590"/>
      <c r="O133" s="590"/>
      <c r="P133" s="389"/>
      <c r="Q133" s="398"/>
      <c r="R133" s="398"/>
      <c r="S133" s="398"/>
      <c r="T133" s="398"/>
      <c r="U133" s="398"/>
    </row>
    <row r="134" spans="2:21" ht="31.5" customHeight="1" thickBot="1" x14ac:dyDescent="0.3">
      <c r="B134" s="894" t="s">
        <v>526</v>
      </c>
      <c r="C134" s="894"/>
      <c r="D134" s="933" t="s">
        <v>527</v>
      </c>
      <c r="E134" s="933"/>
      <c r="F134" s="933" t="s">
        <v>908</v>
      </c>
      <c r="G134" s="933"/>
      <c r="H134" s="539"/>
      <c r="I134" s="590"/>
      <c r="J134" s="590"/>
      <c r="K134" s="590"/>
      <c r="L134" s="590"/>
      <c r="M134" s="590"/>
      <c r="N134" s="590"/>
      <c r="O134" s="590"/>
      <c r="P134" s="389"/>
      <c r="Q134" s="398"/>
      <c r="R134" s="398"/>
      <c r="S134" s="398"/>
      <c r="T134" s="398"/>
      <c r="U134" s="398"/>
    </row>
    <row r="135" spans="2:21" ht="45.75" customHeight="1" thickBot="1" x14ac:dyDescent="0.3">
      <c r="B135" s="894" t="s">
        <v>528</v>
      </c>
      <c r="C135" s="894"/>
      <c r="D135" s="895" t="s">
        <v>529</v>
      </c>
      <c r="E135" s="895"/>
      <c r="F135" s="895" t="s">
        <v>909</v>
      </c>
      <c r="G135" s="895"/>
      <c r="H135" s="539"/>
      <c r="I135" s="590"/>
      <c r="J135" s="590"/>
      <c r="K135" s="590"/>
      <c r="L135" s="590"/>
      <c r="M135" s="590"/>
      <c r="N135" s="590"/>
      <c r="O135" s="590"/>
      <c r="P135" s="389"/>
      <c r="Q135" s="398"/>
      <c r="R135" s="398"/>
      <c r="S135" s="398"/>
      <c r="T135" s="398"/>
      <c r="U135" s="398"/>
    </row>
    <row r="136" spans="2:21" ht="47.25" customHeight="1" thickBot="1" x14ac:dyDescent="0.3">
      <c r="B136" s="894" t="s">
        <v>530</v>
      </c>
      <c r="C136" s="894"/>
      <c r="D136" s="895" t="s">
        <v>531</v>
      </c>
      <c r="E136" s="895"/>
      <c r="F136" s="895" t="s">
        <v>909</v>
      </c>
      <c r="G136" s="895"/>
      <c r="H136" s="539"/>
      <c r="I136" s="590"/>
      <c r="J136" s="389"/>
      <c r="K136" s="389"/>
      <c r="L136" s="590"/>
      <c r="M136" s="590"/>
      <c r="N136" s="590"/>
      <c r="O136" s="590"/>
      <c r="P136" s="389"/>
      <c r="Q136" s="398"/>
      <c r="R136" s="398"/>
      <c r="S136" s="398"/>
      <c r="T136" s="398"/>
      <c r="U136" s="398"/>
    </row>
    <row r="137" spans="2:21" ht="30" customHeight="1" thickBot="1" x14ac:dyDescent="0.3">
      <c r="B137" s="894" t="s">
        <v>532</v>
      </c>
      <c r="C137" s="894"/>
      <c r="D137" s="933" t="s">
        <v>533</v>
      </c>
      <c r="E137" s="933"/>
      <c r="F137" s="933" t="s">
        <v>910</v>
      </c>
      <c r="G137" s="933"/>
      <c r="H137" s="539"/>
      <c r="I137" s="590"/>
      <c r="J137" s="389"/>
      <c r="K137" s="389"/>
      <c r="L137" s="590"/>
      <c r="M137" s="590"/>
      <c r="N137" s="590"/>
      <c r="O137" s="590"/>
      <c r="P137" s="389"/>
      <c r="Q137" s="398"/>
      <c r="R137" s="398"/>
      <c r="S137" s="398"/>
      <c r="T137" s="398"/>
      <c r="U137" s="398"/>
    </row>
    <row r="138" spans="2:21" ht="48.75" customHeight="1" thickBot="1" x14ac:dyDescent="0.3">
      <c r="B138" s="894" t="s">
        <v>534</v>
      </c>
      <c r="C138" s="894"/>
      <c r="D138" s="895" t="s">
        <v>535</v>
      </c>
      <c r="E138" s="895"/>
      <c r="F138" s="895" t="s">
        <v>911</v>
      </c>
      <c r="G138" s="895"/>
      <c r="H138" s="539"/>
      <c r="I138" s="590"/>
      <c r="J138" s="590"/>
      <c r="K138" s="590"/>
      <c r="L138" s="590"/>
      <c r="M138" s="590"/>
      <c r="N138" s="590"/>
      <c r="O138" s="590"/>
      <c r="P138" s="389"/>
      <c r="Q138" s="398"/>
      <c r="R138" s="398"/>
      <c r="S138" s="398"/>
      <c r="T138" s="398"/>
      <c r="U138" s="398"/>
    </row>
    <row r="139" spans="2:21" ht="39" customHeight="1" thickBot="1" x14ac:dyDescent="0.3">
      <c r="B139" s="894" t="s">
        <v>536</v>
      </c>
      <c r="C139" s="894"/>
      <c r="D139" s="895" t="s">
        <v>537</v>
      </c>
      <c r="E139" s="895"/>
      <c r="F139" s="895" t="s">
        <v>912</v>
      </c>
      <c r="G139" s="895"/>
      <c r="H139" s="539"/>
      <c r="I139" s="590"/>
      <c r="J139" s="590"/>
      <c r="K139" s="590"/>
      <c r="L139" s="590"/>
      <c r="M139" s="590"/>
      <c r="N139" s="590"/>
      <c r="O139" s="590"/>
      <c r="P139" s="389"/>
      <c r="Q139" s="398"/>
      <c r="R139" s="398"/>
      <c r="S139" s="398"/>
      <c r="T139" s="398"/>
      <c r="U139" s="398"/>
    </row>
    <row r="140" spans="2:21" ht="39.75" customHeight="1" thickBot="1" x14ac:dyDescent="0.3">
      <c r="B140" s="896" t="s">
        <v>913</v>
      </c>
      <c r="C140" s="896"/>
      <c r="D140" s="934" t="s">
        <v>538</v>
      </c>
      <c r="E140" s="934"/>
      <c r="F140" s="934" t="s">
        <v>914</v>
      </c>
      <c r="G140" s="934"/>
      <c r="H140" s="539"/>
      <c r="I140" s="590"/>
      <c r="J140" s="389"/>
      <c r="K140" s="389"/>
      <c r="L140" s="590"/>
      <c r="M140" s="590"/>
      <c r="N140" s="590"/>
      <c r="O140" s="590"/>
      <c r="P140" s="389"/>
      <c r="Q140" s="398"/>
      <c r="R140" s="398"/>
      <c r="S140" s="398"/>
      <c r="T140" s="398"/>
      <c r="U140" s="398"/>
    </row>
    <row r="141" spans="2:21" x14ac:dyDescent="0.25">
      <c r="B141" s="798" t="s">
        <v>832</v>
      </c>
      <c r="C141" s="798"/>
      <c r="D141" s="594"/>
      <c r="E141" s="594"/>
      <c r="F141" s="389"/>
      <c r="G141" s="389"/>
      <c r="H141" s="590"/>
      <c r="I141" s="590"/>
      <c r="J141" s="389"/>
      <c r="K141" s="389"/>
      <c r="L141" s="590"/>
      <c r="M141" s="590"/>
      <c r="N141" s="590"/>
      <c r="O141" s="590"/>
      <c r="P141" s="389"/>
      <c r="Q141" s="398"/>
      <c r="R141" s="398"/>
      <c r="S141" s="398"/>
      <c r="T141" s="398"/>
      <c r="U141" s="398"/>
    </row>
    <row r="142" spans="2:21" x14ac:dyDescent="0.25">
      <c r="B142" s="542" t="s">
        <v>539</v>
      </c>
      <c r="C142" s="542"/>
      <c r="D142" s="542"/>
      <c r="E142" s="542"/>
      <c r="F142" s="389"/>
      <c r="G142" s="389"/>
      <c r="H142" s="590"/>
      <c r="I142" s="590"/>
      <c r="J142" s="590"/>
      <c r="K142" s="590"/>
      <c r="L142" s="590"/>
      <c r="M142" s="590"/>
      <c r="N142" s="590"/>
      <c r="O142" s="590"/>
      <c r="P142" s="389"/>
      <c r="Q142" s="398"/>
      <c r="R142" s="398"/>
      <c r="S142" s="398"/>
      <c r="T142" s="398"/>
      <c r="U142" s="398"/>
    </row>
    <row r="143" spans="2:21" x14ac:dyDescent="0.25">
      <c r="B143" s="545"/>
      <c r="C143" s="545"/>
      <c r="D143" s="545"/>
      <c r="E143" s="545"/>
      <c r="F143" s="389"/>
      <c r="G143" s="389"/>
      <c r="H143" s="590"/>
      <c r="I143" s="590"/>
      <c r="J143" s="590"/>
      <c r="K143" s="590"/>
      <c r="L143" s="590"/>
      <c r="M143" s="590"/>
      <c r="N143" s="590"/>
      <c r="O143" s="590"/>
      <c r="P143" s="389"/>
      <c r="Q143" s="398"/>
      <c r="R143" s="398"/>
      <c r="S143" s="398"/>
      <c r="T143" s="398"/>
      <c r="U143" s="398"/>
    </row>
    <row r="144" spans="2:21" x14ac:dyDescent="0.25">
      <c r="B144" s="545"/>
      <c r="C144" s="545"/>
      <c r="D144" s="545"/>
      <c r="E144" s="545"/>
      <c r="F144" s="389"/>
      <c r="G144" s="389"/>
      <c r="H144" s="590"/>
      <c r="I144" s="590"/>
      <c r="J144" s="590"/>
      <c r="K144" s="590"/>
      <c r="L144" s="590"/>
      <c r="M144" s="590"/>
      <c r="N144" s="590"/>
      <c r="O144" s="590"/>
      <c r="P144" s="389"/>
      <c r="Q144" s="398"/>
      <c r="R144" s="398"/>
      <c r="S144" s="398"/>
      <c r="T144" s="398"/>
      <c r="U144" s="398"/>
    </row>
    <row r="145" spans="1:21" x14ac:dyDescent="0.25">
      <c r="A145" s="887"/>
      <c r="B145" s="546" t="s">
        <v>1193</v>
      </c>
      <c r="C145" s="546"/>
      <c r="D145" s="546"/>
      <c r="E145" s="545"/>
      <c r="F145" s="389"/>
      <c r="G145" s="389"/>
      <c r="H145" s="590"/>
      <c r="I145" s="590"/>
      <c r="J145" s="590"/>
      <c r="K145" s="590"/>
      <c r="L145" s="590"/>
      <c r="M145" s="590"/>
      <c r="N145" s="590"/>
      <c r="O145" s="590"/>
      <c r="P145" s="389"/>
      <c r="Q145" s="398"/>
      <c r="R145" s="398"/>
      <c r="S145" s="398"/>
      <c r="T145" s="398"/>
      <c r="U145" s="398"/>
    </row>
    <row r="146" spans="1:21" ht="15" customHeight="1" x14ac:dyDescent="0.25">
      <c r="A146" s="887"/>
      <c r="B146" s="897" t="s">
        <v>2</v>
      </c>
      <c r="C146" s="897"/>
      <c r="D146" s="897" t="s">
        <v>521</v>
      </c>
      <c r="E146" s="897" t="s">
        <v>382</v>
      </c>
      <c r="F146" s="897" t="s">
        <v>1342</v>
      </c>
      <c r="G146" s="389"/>
      <c r="H146" s="590"/>
      <c r="I146" s="590"/>
      <c r="J146" s="590"/>
      <c r="K146" s="590"/>
      <c r="L146" s="590"/>
      <c r="M146" s="590"/>
      <c r="N146" s="590"/>
      <c r="O146" s="590"/>
      <c r="P146" s="389"/>
      <c r="Q146" s="398"/>
      <c r="R146" s="398"/>
      <c r="S146" s="398"/>
      <c r="T146" s="398"/>
      <c r="U146" s="398"/>
    </row>
    <row r="147" spans="1:21" x14ac:dyDescent="0.25">
      <c r="B147" s="704"/>
      <c r="C147" s="704"/>
      <c r="D147" s="704"/>
      <c r="E147" s="704"/>
      <c r="F147" s="704"/>
      <c r="G147" s="389"/>
      <c r="H147" s="590"/>
      <c r="I147" s="590"/>
      <c r="J147" s="590"/>
      <c r="K147" s="590"/>
      <c r="L147" s="590"/>
      <c r="M147" s="590"/>
      <c r="N147" s="590"/>
      <c r="O147" s="590"/>
      <c r="P147" s="389"/>
      <c r="Q147" s="398"/>
      <c r="R147" s="398"/>
      <c r="S147" s="398"/>
      <c r="T147" s="398"/>
      <c r="U147" s="398"/>
    </row>
    <row r="148" spans="1:21" ht="15.75" customHeight="1" thickBot="1" x14ac:dyDescent="0.3">
      <c r="B148" s="898" t="s">
        <v>12</v>
      </c>
      <c r="C148" s="898"/>
      <c r="D148" s="611">
        <v>41</v>
      </c>
      <c r="E148" s="611">
        <v>13</v>
      </c>
      <c r="F148" s="596">
        <f>E148/D148</f>
        <v>0.31707317073170732</v>
      </c>
      <c r="G148" s="389"/>
      <c r="H148" s="590"/>
      <c r="I148" s="590"/>
      <c r="J148" s="590"/>
      <c r="K148" s="590"/>
      <c r="L148" s="590"/>
      <c r="M148" s="590"/>
      <c r="N148" s="590"/>
      <c r="O148" s="590"/>
      <c r="P148" s="389"/>
      <c r="Q148" s="398"/>
      <c r="R148" s="398"/>
      <c r="S148" s="398"/>
      <c r="T148" s="398"/>
      <c r="U148" s="398"/>
    </row>
    <row r="149" spans="1:21" ht="15" customHeight="1" thickBot="1" x14ac:dyDescent="0.3">
      <c r="B149" s="899" t="s">
        <v>13</v>
      </c>
      <c r="C149" s="899"/>
      <c r="D149" s="646">
        <v>96</v>
      </c>
      <c r="E149" s="646">
        <v>41</v>
      </c>
      <c r="F149" s="597">
        <f>E149/D149</f>
        <v>0.42708333333333331</v>
      </c>
      <c r="G149" s="389"/>
      <c r="H149" s="590"/>
      <c r="I149" s="590"/>
      <c r="J149" s="590"/>
      <c r="K149" s="590"/>
      <c r="L149" s="590"/>
      <c r="M149" s="590"/>
      <c r="N149" s="590"/>
      <c r="O149" s="590"/>
      <c r="P149" s="389"/>
      <c r="Q149" s="398"/>
      <c r="R149" s="398"/>
      <c r="S149" s="398"/>
      <c r="T149" s="398"/>
      <c r="U149" s="398"/>
    </row>
    <row r="150" spans="1:21" x14ac:dyDescent="0.25">
      <c r="B150" s="545"/>
      <c r="C150" s="545"/>
      <c r="D150" s="545"/>
      <c r="E150" s="545"/>
      <c r="F150" s="389"/>
      <c r="G150" s="389"/>
      <c r="H150" s="590"/>
      <c r="I150" s="590"/>
      <c r="J150" s="590"/>
      <c r="K150" s="590"/>
      <c r="L150" s="590"/>
      <c r="M150" s="590"/>
      <c r="N150" s="590"/>
      <c r="O150" s="590"/>
      <c r="P150" s="389"/>
    </row>
    <row r="151" spans="1:21" ht="15" customHeight="1" x14ac:dyDescent="0.25">
      <c r="B151" s="544"/>
      <c r="C151" s="398"/>
      <c r="D151" s="893" t="s">
        <v>520</v>
      </c>
      <c r="E151" s="893"/>
      <c r="F151" s="893"/>
      <c r="G151" s="893"/>
      <c r="H151" s="590"/>
      <c r="I151" s="590"/>
      <c r="J151" s="590"/>
      <c r="K151" s="590"/>
      <c r="L151" s="590"/>
      <c r="M151" s="590"/>
      <c r="N151" s="590"/>
      <c r="O151" s="590"/>
      <c r="P151" s="389"/>
    </row>
    <row r="152" spans="1:21" ht="36.75" customHeight="1" x14ac:dyDescent="0.25">
      <c r="B152" s="893" t="s">
        <v>1352</v>
      </c>
      <c r="C152" s="893"/>
      <c r="D152" s="893" t="s">
        <v>12</v>
      </c>
      <c r="E152" s="893"/>
      <c r="F152" s="893" t="s">
        <v>13</v>
      </c>
      <c r="G152" s="893"/>
      <c r="H152" s="590"/>
      <c r="I152" s="590"/>
      <c r="J152" s="590"/>
      <c r="K152" s="590"/>
      <c r="L152" s="590"/>
      <c r="M152" s="590"/>
      <c r="N152" s="590"/>
      <c r="O152" s="590"/>
      <c r="P152" s="389"/>
    </row>
    <row r="153" spans="1:21" ht="38.25" customHeight="1" thickBot="1" x14ac:dyDescent="0.3">
      <c r="B153" s="894" t="s">
        <v>540</v>
      </c>
      <c r="C153" s="894"/>
      <c r="D153" s="895" t="s">
        <v>541</v>
      </c>
      <c r="E153" s="895"/>
      <c r="F153" s="895" t="s">
        <v>875</v>
      </c>
      <c r="G153" s="895"/>
      <c r="H153" s="590"/>
      <c r="I153" s="590"/>
      <c r="J153" s="590"/>
      <c r="K153" s="590"/>
      <c r="L153" s="590"/>
      <c r="M153" s="590"/>
      <c r="N153" s="590"/>
      <c r="O153" s="590"/>
      <c r="P153" s="389"/>
    </row>
    <row r="154" spans="1:21" ht="47.25" customHeight="1" thickBot="1" x14ac:dyDescent="0.3">
      <c r="B154" s="894" t="s">
        <v>542</v>
      </c>
      <c r="C154" s="894"/>
      <c r="D154" s="895" t="s">
        <v>543</v>
      </c>
      <c r="E154" s="895"/>
      <c r="F154" s="895" t="s">
        <v>915</v>
      </c>
      <c r="G154" s="895"/>
      <c r="H154" s="590"/>
      <c r="I154" s="590"/>
      <c r="J154" s="590"/>
      <c r="K154" s="590"/>
      <c r="L154" s="590"/>
      <c r="M154" s="590"/>
      <c r="N154" s="590"/>
      <c r="O154" s="590"/>
      <c r="P154" s="389"/>
    </row>
    <row r="155" spans="1:21" ht="61.5" customHeight="1" thickBot="1" x14ac:dyDescent="0.3">
      <c r="B155" s="894" t="s">
        <v>544</v>
      </c>
      <c r="C155" s="894"/>
      <c r="D155" s="895" t="s">
        <v>543</v>
      </c>
      <c r="E155" s="895"/>
      <c r="F155" s="895" t="s">
        <v>915</v>
      </c>
      <c r="G155" s="895"/>
      <c r="H155" s="590"/>
      <c r="I155" s="590"/>
      <c r="J155" s="590"/>
      <c r="K155" s="590"/>
      <c r="L155" s="590"/>
      <c r="M155" s="590"/>
      <c r="N155" s="590"/>
      <c r="O155" s="590"/>
      <c r="P155" s="389"/>
    </row>
    <row r="156" spans="1:21" ht="36.75" customHeight="1" thickBot="1" x14ac:dyDescent="0.3">
      <c r="B156" s="894" t="s">
        <v>545</v>
      </c>
      <c r="C156" s="894"/>
      <c r="D156" s="895" t="s">
        <v>546</v>
      </c>
      <c r="E156" s="895"/>
      <c r="F156" s="895" t="s">
        <v>916</v>
      </c>
      <c r="G156" s="895"/>
      <c r="H156" s="590"/>
      <c r="I156" s="590"/>
      <c r="J156" s="590"/>
      <c r="K156" s="590"/>
      <c r="L156" s="590"/>
      <c r="M156" s="590"/>
      <c r="N156" s="590"/>
      <c r="O156" s="590"/>
      <c r="P156" s="389"/>
    </row>
    <row r="157" spans="1:21" ht="41.25" customHeight="1" thickBot="1" x14ac:dyDescent="0.3">
      <c r="B157" s="894" t="s">
        <v>547</v>
      </c>
      <c r="C157" s="894"/>
      <c r="D157" s="895" t="s">
        <v>543</v>
      </c>
      <c r="E157" s="895"/>
      <c r="F157" s="895" t="s">
        <v>917</v>
      </c>
      <c r="G157" s="895"/>
      <c r="H157" s="590"/>
      <c r="I157" s="590"/>
      <c r="J157" s="590"/>
      <c r="K157" s="590"/>
      <c r="L157" s="590"/>
      <c r="M157" s="590"/>
      <c r="N157" s="590"/>
      <c r="O157" s="590"/>
      <c r="P157" s="389"/>
    </row>
    <row r="158" spans="1:21" ht="27" customHeight="1" thickBot="1" x14ac:dyDescent="0.3">
      <c r="B158" s="894" t="s">
        <v>548</v>
      </c>
      <c r="C158" s="894"/>
      <c r="D158" s="895" t="s">
        <v>541</v>
      </c>
      <c r="E158" s="895"/>
      <c r="F158" s="895" t="s">
        <v>575</v>
      </c>
      <c r="G158" s="895"/>
      <c r="H158" s="590"/>
      <c r="I158" s="590"/>
      <c r="J158" s="590"/>
      <c r="K158" s="590"/>
      <c r="L158" s="590"/>
      <c r="M158" s="590"/>
      <c r="N158" s="590"/>
      <c r="O158" s="590"/>
      <c r="P158" s="389"/>
    </row>
    <row r="159" spans="1:21" ht="57.75" customHeight="1" thickBot="1" x14ac:dyDescent="0.3">
      <c r="B159" s="894" t="s">
        <v>549</v>
      </c>
      <c r="C159" s="894"/>
      <c r="D159" s="895" t="s">
        <v>550</v>
      </c>
      <c r="E159" s="895"/>
      <c r="F159" s="895" t="s">
        <v>575</v>
      </c>
      <c r="G159" s="895"/>
      <c r="H159" s="398"/>
      <c r="I159" s="398"/>
      <c r="J159" s="398"/>
      <c r="K159" s="398"/>
      <c r="L159" s="398"/>
      <c r="M159" s="398"/>
      <c r="N159" s="398"/>
      <c r="O159" s="398"/>
    </row>
    <row r="160" spans="1:21" ht="46.5" customHeight="1" thickBot="1" x14ac:dyDescent="0.3">
      <c r="B160" s="894" t="s">
        <v>532</v>
      </c>
      <c r="C160" s="894"/>
      <c r="D160" s="933" t="s">
        <v>551</v>
      </c>
      <c r="E160" s="933"/>
      <c r="F160" s="933" t="s">
        <v>918</v>
      </c>
      <c r="G160" s="933"/>
      <c r="H160" s="398"/>
      <c r="I160" s="398"/>
      <c r="J160" s="398"/>
      <c r="K160" s="398"/>
      <c r="L160" s="398"/>
      <c r="M160" s="398"/>
      <c r="N160" s="398"/>
      <c r="O160" s="398"/>
    </row>
    <row r="161" spans="1:15" ht="46.5" customHeight="1" thickBot="1" x14ac:dyDescent="0.3">
      <c r="B161" s="894" t="s">
        <v>534</v>
      </c>
      <c r="C161" s="894"/>
      <c r="D161" s="895" t="s">
        <v>546</v>
      </c>
      <c r="E161" s="895"/>
      <c r="F161" s="895" t="s">
        <v>919</v>
      </c>
      <c r="G161" s="895"/>
      <c r="H161" s="398"/>
      <c r="I161" s="398"/>
      <c r="J161" s="398"/>
      <c r="K161" s="398"/>
      <c r="L161" s="398"/>
      <c r="M161" s="398"/>
      <c r="N161" s="398"/>
      <c r="O161" s="398"/>
    </row>
    <row r="162" spans="1:15" ht="38.25" customHeight="1" thickBot="1" x14ac:dyDescent="0.3">
      <c r="B162" s="894" t="s">
        <v>536</v>
      </c>
      <c r="C162" s="894"/>
      <c r="D162" s="895" t="s">
        <v>552</v>
      </c>
      <c r="E162" s="895"/>
      <c r="F162" s="895" t="s">
        <v>920</v>
      </c>
      <c r="G162" s="895"/>
      <c r="H162" s="398"/>
      <c r="I162" s="398"/>
      <c r="J162" s="398"/>
      <c r="K162" s="398"/>
      <c r="L162" s="398"/>
      <c r="M162" s="398"/>
      <c r="N162" s="398"/>
      <c r="O162" s="398"/>
    </row>
    <row r="163" spans="1:15" ht="28.5" customHeight="1" thickBot="1" x14ac:dyDescent="0.3">
      <c r="B163" s="894" t="s">
        <v>921</v>
      </c>
      <c r="C163" s="894"/>
      <c r="D163" s="895">
        <v>5.23</v>
      </c>
      <c r="E163" s="895"/>
      <c r="F163" s="895">
        <v>6.02</v>
      </c>
      <c r="G163" s="895"/>
      <c r="H163" s="398"/>
      <c r="I163" s="398"/>
      <c r="J163" s="398"/>
      <c r="K163" s="398"/>
      <c r="L163" s="398"/>
      <c r="M163" s="398"/>
      <c r="N163" s="398"/>
      <c r="O163" s="398"/>
    </row>
    <row r="164" spans="1:15" ht="38.25" customHeight="1" thickBot="1" x14ac:dyDescent="0.3">
      <c r="B164" s="894" t="s">
        <v>922</v>
      </c>
      <c r="C164" s="894"/>
      <c r="D164" s="895">
        <v>4.93</v>
      </c>
      <c r="E164" s="895"/>
      <c r="F164" s="895">
        <v>5.41</v>
      </c>
      <c r="G164" s="895"/>
      <c r="H164" s="398"/>
      <c r="I164" s="398"/>
      <c r="J164" s="398"/>
      <c r="K164" s="398"/>
      <c r="L164" s="398"/>
      <c r="M164" s="398"/>
      <c r="N164" s="398"/>
      <c r="O164" s="398"/>
    </row>
    <row r="165" spans="1:15" ht="49.5" customHeight="1" thickBot="1" x14ac:dyDescent="0.3">
      <c r="B165" s="896" t="s">
        <v>923</v>
      </c>
      <c r="C165" s="896"/>
      <c r="D165" s="934">
        <v>4.8499999999999996</v>
      </c>
      <c r="E165" s="934"/>
      <c r="F165" s="934">
        <v>4.37</v>
      </c>
      <c r="G165" s="934"/>
      <c r="H165" s="398"/>
      <c r="I165" s="398"/>
      <c r="J165" s="398"/>
      <c r="K165" s="398"/>
      <c r="L165" s="398"/>
      <c r="M165" s="398"/>
      <c r="N165" s="398"/>
      <c r="O165" s="398"/>
    </row>
    <row r="166" spans="1:15" x14ac:dyDescent="0.25">
      <c r="B166" s="842" t="s">
        <v>832</v>
      </c>
      <c r="C166" s="842"/>
      <c r="D166" s="44"/>
      <c r="E166" s="44"/>
    </row>
    <row r="167" spans="1:15" x14ac:dyDescent="0.25">
      <c r="B167" s="50" t="s">
        <v>554</v>
      </c>
      <c r="C167" s="50"/>
      <c r="D167" s="44"/>
      <c r="E167" s="44"/>
    </row>
    <row r="168" spans="1:15" x14ac:dyDescent="0.25">
      <c r="B168" s="44"/>
      <c r="C168" s="44"/>
      <c r="D168" s="44"/>
      <c r="E168" s="44"/>
    </row>
    <row r="169" spans="1:15" x14ac:dyDescent="0.25">
      <c r="B169" s="58"/>
    </row>
    <row r="170" spans="1:15" x14ac:dyDescent="0.25">
      <c r="A170" s="487"/>
      <c r="B170" s="51" t="s">
        <v>1194</v>
      </c>
      <c r="C170" s="51"/>
      <c r="D170" s="51"/>
      <c r="E170" s="51"/>
      <c r="F170" s="51"/>
      <c r="G170" s="51"/>
      <c r="H170" s="51"/>
    </row>
    <row r="171" spans="1:15" x14ac:dyDescent="0.25">
      <c r="B171" s="897" t="s">
        <v>2</v>
      </c>
      <c r="C171" s="897"/>
      <c r="D171" s="897" t="s">
        <v>521</v>
      </c>
      <c r="E171" s="897" t="s">
        <v>382</v>
      </c>
      <c r="F171" s="897" t="s">
        <v>519</v>
      </c>
    </row>
    <row r="172" spans="1:15" x14ac:dyDescent="0.25">
      <c r="B172" s="704"/>
      <c r="C172" s="704"/>
      <c r="D172" s="704"/>
      <c r="E172" s="704"/>
      <c r="F172" s="704"/>
    </row>
    <row r="173" spans="1:15" ht="15.75" customHeight="1" thickBot="1" x14ac:dyDescent="0.3">
      <c r="B173" s="898" t="s">
        <v>12</v>
      </c>
      <c r="C173" s="898"/>
      <c r="D173" s="611">
        <v>27</v>
      </c>
      <c r="E173" s="611">
        <v>5</v>
      </c>
      <c r="F173" s="596">
        <f>E173/D173</f>
        <v>0.18518518518518517</v>
      </c>
    </row>
    <row r="174" spans="1:15" s="86" customFormat="1" ht="15.75" thickBot="1" x14ac:dyDescent="0.3">
      <c r="B174" s="899" t="s">
        <v>13</v>
      </c>
      <c r="C174" s="899"/>
      <c r="D174" s="646">
        <v>85</v>
      </c>
      <c r="E174" s="646">
        <v>41</v>
      </c>
      <c r="F174" s="597">
        <f>E174/D174</f>
        <v>0.4823529411764706</v>
      </c>
    </row>
    <row r="175" spans="1:15" x14ac:dyDescent="0.25">
      <c r="B175" s="41"/>
    </row>
    <row r="176" spans="1:15" ht="15" customHeight="1" x14ac:dyDescent="0.25">
      <c r="B176" s="544"/>
      <c r="C176" s="398"/>
      <c r="D176" s="893" t="s">
        <v>520</v>
      </c>
      <c r="E176" s="893"/>
      <c r="F176" s="893"/>
      <c r="G176" s="893"/>
    </row>
    <row r="177" spans="2:7" ht="47.25" customHeight="1" x14ac:dyDescent="0.25">
      <c r="B177" s="893" t="s">
        <v>1352</v>
      </c>
      <c r="C177" s="893"/>
      <c r="D177" s="893" t="s">
        <v>12</v>
      </c>
      <c r="E177" s="893"/>
      <c r="F177" s="893" t="s">
        <v>13</v>
      </c>
      <c r="G177" s="893"/>
    </row>
    <row r="178" spans="2:7" ht="49.5" customHeight="1" thickBot="1" x14ac:dyDescent="0.3">
      <c r="B178" s="894" t="s">
        <v>555</v>
      </c>
      <c r="C178" s="894"/>
      <c r="D178" s="895">
        <v>5.8</v>
      </c>
      <c r="E178" s="895"/>
      <c r="F178" s="895">
        <v>5.14</v>
      </c>
      <c r="G178" s="895"/>
    </row>
    <row r="179" spans="2:7" ht="57" customHeight="1" thickBot="1" x14ac:dyDescent="0.3">
      <c r="B179" s="894" t="s">
        <v>556</v>
      </c>
      <c r="C179" s="894"/>
      <c r="D179" s="895">
        <v>5.8</v>
      </c>
      <c r="E179" s="895"/>
      <c r="F179" s="895">
        <v>4.93</v>
      </c>
      <c r="G179" s="895"/>
    </row>
    <row r="180" spans="2:7" ht="48.75" customHeight="1" thickBot="1" x14ac:dyDescent="0.3">
      <c r="B180" s="894" t="s">
        <v>557</v>
      </c>
      <c r="C180" s="894"/>
      <c r="D180" s="895">
        <v>6</v>
      </c>
      <c r="E180" s="895"/>
      <c r="F180" s="895">
        <v>5.43</v>
      </c>
      <c r="G180" s="895"/>
    </row>
    <row r="181" spans="2:7" ht="36" customHeight="1" thickBot="1" x14ac:dyDescent="0.3">
      <c r="B181" s="894" t="s">
        <v>558</v>
      </c>
      <c r="C181" s="894"/>
      <c r="D181" s="895">
        <v>6</v>
      </c>
      <c r="E181" s="895"/>
      <c r="F181" s="895">
        <v>5.64</v>
      </c>
      <c r="G181" s="895"/>
    </row>
    <row r="182" spans="2:7" ht="47.25" customHeight="1" thickBot="1" x14ac:dyDescent="0.3">
      <c r="B182" s="894" t="s">
        <v>559</v>
      </c>
      <c r="C182" s="894"/>
      <c r="D182" s="895">
        <v>6</v>
      </c>
      <c r="E182" s="895"/>
      <c r="F182" s="895">
        <v>6.14</v>
      </c>
      <c r="G182" s="895"/>
    </row>
    <row r="183" spans="2:7" ht="48.75" customHeight="1" thickBot="1" x14ac:dyDescent="0.3">
      <c r="B183" s="894" t="s">
        <v>560</v>
      </c>
      <c r="C183" s="894"/>
      <c r="D183" s="895">
        <v>5.8</v>
      </c>
      <c r="E183" s="895"/>
      <c r="F183" s="895">
        <v>6</v>
      </c>
      <c r="G183" s="895"/>
    </row>
    <row r="184" spans="2:7" ht="47.25" customHeight="1" thickBot="1" x14ac:dyDescent="0.3">
      <c r="B184" s="894" t="s">
        <v>561</v>
      </c>
      <c r="C184" s="894"/>
      <c r="D184" s="895">
        <v>5.8</v>
      </c>
      <c r="E184" s="895"/>
      <c r="F184" s="895">
        <v>6.07</v>
      </c>
      <c r="G184" s="895"/>
    </row>
    <row r="185" spans="2:7" ht="48.75" customHeight="1" thickBot="1" x14ac:dyDescent="0.3">
      <c r="B185" s="894" t="s">
        <v>562</v>
      </c>
      <c r="C185" s="894"/>
      <c r="D185" s="895">
        <v>6.2</v>
      </c>
      <c r="E185" s="895"/>
      <c r="F185" s="895">
        <v>5.43</v>
      </c>
      <c r="G185" s="895"/>
    </row>
    <row r="186" spans="2:7" ht="47.25" customHeight="1" thickBot="1" x14ac:dyDescent="0.3">
      <c r="B186" s="894" t="s">
        <v>563</v>
      </c>
      <c r="C186" s="894"/>
      <c r="D186" s="895">
        <v>5.8</v>
      </c>
      <c r="E186" s="895"/>
      <c r="F186" s="895">
        <v>5.57</v>
      </c>
      <c r="G186" s="895"/>
    </row>
    <row r="187" spans="2:7" ht="48.75" customHeight="1" thickBot="1" x14ac:dyDescent="0.3">
      <c r="B187" s="894" t="s">
        <v>564</v>
      </c>
      <c r="C187" s="894"/>
      <c r="D187" s="895">
        <v>5</v>
      </c>
      <c r="E187" s="895"/>
      <c r="F187" s="895">
        <v>4.93</v>
      </c>
      <c r="G187" s="895"/>
    </row>
    <row r="188" spans="2:7" ht="45" customHeight="1" thickBot="1" x14ac:dyDescent="0.3">
      <c r="B188" s="894" t="s">
        <v>565</v>
      </c>
      <c r="C188" s="894"/>
      <c r="D188" s="895">
        <v>6</v>
      </c>
      <c r="E188" s="895"/>
      <c r="F188" s="895">
        <v>5.29</v>
      </c>
      <c r="G188" s="895"/>
    </row>
    <row r="189" spans="2:7" ht="49.5" customHeight="1" thickBot="1" x14ac:dyDescent="0.3">
      <c r="B189" s="894" t="s">
        <v>566</v>
      </c>
      <c r="C189" s="894"/>
      <c r="D189" s="895">
        <v>5.6</v>
      </c>
      <c r="E189" s="895"/>
      <c r="F189" s="895">
        <v>5.43</v>
      </c>
      <c r="G189" s="895"/>
    </row>
    <row r="190" spans="2:7" ht="57.75" customHeight="1" thickBot="1" x14ac:dyDescent="0.3">
      <c r="B190" s="894" t="s">
        <v>567</v>
      </c>
      <c r="C190" s="894"/>
      <c r="D190" s="895">
        <v>5.4</v>
      </c>
      <c r="E190" s="895"/>
      <c r="F190" s="895">
        <v>5.07</v>
      </c>
      <c r="G190" s="895"/>
    </row>
    <row r="191" spans="2:7" ht="48" customHeight="1" thickBot="1" x14ac:dyDescent="0.3">
      <c r="B191" s="894" t="s">
        <v>568</v>
      </c>
      <c r="C191" s="894"/>
      <c r="D191" s="895">
        <v>5.8</v>
      </c>
      <c r="E191" s="895"/>
      <c r="F191" s="895">
        <v>5.93</v>
      </c>
      <c r="G191" s="895"/>
    </row>
    <row r="192" spans="2:7" ht="27.75" customHeight="1" thickBot="1" x14ac:dyDescent="0.3">
      <c r="B192" s="894" t="s">
        <v>569</v>
      </c>
      <c r="C192" s="894"/>
      <c r="D192" s="895">
        <v>6.4</v>
      </c>
      <c r="E192" s="895"/>
      <c r="F192" s="895">
        <v>5.07</v>
      </c>
      <c r="G192" s="895"/>
    </row>
    <row r="193" spans="2:7" ht="35.25" customHeight="1" thickBot="1" x14ac:dyDescent="0.3">
      <c r="B193" s="894" t="s">
        <v>570</v>
      </c>
      <c r="C193" s="894"/>
      <c r="D193" s="895">
        <v>6.6</v>
      </c>
      <c r="E193" s="895"/>
      <c r="F193" s="895">
        <v>5.07</v>
      </c>
      <c r="G193" s="895"/>
    </row>
    <row r="194" spans="2:7" ht="27" customHeight="1" thickBot="1" x14ac:dyDescent="0.3">
      <c r="B194" s="894" t="s">
        <v>571</v>
      </c>
      <c r="C194" s="894"/>
      <c r="D194" s="895" t="s">
        <v>572</v>
      </c>
      <c r="E194" s="895"/>
      <c r="F194" s="895" t="s">
        <v>575</v>
      </c>
      <c r="G194" s="895"/>
    </row>
    <row r="195" spans="2:7" ht="38.25" customHeight="1" thickBot="1" x14ac:dyDescent="0.3">
      <c r="B195" s="894" t="s">
        <v>573</v>
      </c>
      <c r="C195" s="894"/>
      <c r="D195" s="895" t="s">
        <v>572</v>
      </c>
      <c r="E195" s="895"/>
      <c r="F195" s="895" t="s">
        <v>868</v>
      </c>
      <c r="G195" s="895"/>
    </row>
    <row r="196" spans="2:7" ht="35.25" customHeight="1" thickBot="1" x14ac:dyDescent="0.3">
      <c r="B196" s="894" t="s">
        <v>574</v>
      </c>
      <c r="C196" s="894"/>
      <c r="D196" s="895" t="s">
        <v>575</v>
      </c>
      <c r="E196" s="895"/>
      <c r="F196" s="895" t="s">
        <v>924</v>
      </c>
      <c r="G196" s="895"/>
    </row>
    <row r="197" spans="2:7" ht="22.5" customHeight="1" thickBot="1" x14ac:dyDescent="0.3">
      <c r="B197" s="896" t="s">
        <v>576</v>
      </c>
      <c r="C197" s="896"/>
      <c r="D197" s="934" t="s">
        <v>577</v>
      </c>
      <c r="E197" s="934"/>
      <c r="F197" s="934" t="s">
        <v>925</v>
      </c>
      <c r="G197" s="934"/>
    </row>
    <row r="198" spans="2:7" x14ac:dyDescent="0.25">
      <c r="B198" s="50" t="s">
        <v>832</v>
      </c>
      <c r="C198" s="50"/>
    </row>
    <row r="199" spans="2:7" x14ac:dyDescent="0.25">
      <c r="B199" s="50" t="s">
        <v>578</v>
      </c>
      <c r="C199" s="50"/>
    </row>
    <row r="200" spans="2:7" x14ac:dyDescent="0.25">
      <c r="B200" s="63"/>
    </row>
    <row r="201" spans="2:7" x14ac:dyDescent="0.25">
      <c r="B201" s="44"/>
      <c r="C201" s="44"/>
      <c r="D201" s="44"/>
    </row>
    <row r="202" spans="2:7" x14ac:dyDescent="0.25">
      <c r="B202" s="62"/>
      <c r="C202" s="44"/>
      <c r="D202" s="44"/>
    </row>
    <row r="203" spans="2:7" x14ac:dyDescent="0.25">
      <c r="B203" s="62"/>
      <c r="C203" s="44"/>
      <c r="D203" s="44"/>
    </row>
  </sheetData>
  <mergeCells count="354">
    <mergeCell ref="O95:P95"/>
    <mergeCell ref="G94:K94"/>
    <mergeCell ref="L94:P94"/>
    <mergeCell ref="B197:C197"/>
    <mergeCell ref="D197:E197"/>
    <mergeCell ref="F197:G197"/>
    <mergeCell ref="B195:C195"/>
    <mergeCell ref="D195:E195"/>
    <mergeCell ref="F195:G195"/>
    <mergeCell ref="B196:C196"/>
    <mergeCell ref="D196:E196"/>
    <mergeCell ref="F196:G196"/>
    <mergeCell ref="B193:C193"/>
    <mergeCell ref="D193:E193"/>
    <mergeCell ref="F193:G193"/>
    <mergeCell ref="B194:C194"/>
    <mergeCell ref="D194:E194"/>
    <mergeCell ref="F194:G194"/>
    <mergeCell ref="B191:C191"/>
    <mergeCell ref="D191:E191"/>
    <mergeCell ref="F191:G191"/>
    <mergeCell ref="B192:C192"/>
    <mergeCell ref="D192:E192"/>
    <mergeCell ref="F192:G192"/>
    <mergeCell ref="B189:C189"/>
    <mergeCell ref="D189:E189"/>
    <mergeCell ref="F189:G189"/>
    <mergeCell ref="B190:C190"/>
    <mergeCell ref="D190:E190"/>
    <mergeCell ref="F190:G190"/>
    <mergeCell ref="B187:C187"/>
    <mergeCell ref="D187:E187"/>
    <mergeCell ref="F187:G187"/>
    <mergeCell ref="B188:C188"/>
    <mergeCell ref="D188:E188"/>
    <mergeCell ref="F188:G188"/>
    <mergeCell ref="B185:C185"/>
    <mergeCell ref="D185:E185"/>
    <mergeCell ref="F185:G185"/>
    <mergeCell ref="B186:C186"/>
    <mergeCell ref="D186:E186"/>
    <mergeCell ref="F186:G186"/>
    <mergeCell ref="B183:C183"/>
    <mergeCell ref="D183:E183"/>
    <mergeCell ref="F183:G183"/>
    <mergeCell ref="B184:C184"/>
    <mergeCell ref="D184:E184"/>
    <mergeCell ref="F184:G184"/>
    <mergeCell ref="B181:C181"/>
    <mergeCell ref="D181:E181"/>
    <mergeCell ref="F181:G181"/>
    <mergeCell ref="B182:C182"/>
    <mergeCell ref="D182:E182"/>
    <mergeCell ref="F182:G182"/>
    <mergeCell ref="F178:G178"/>
    <mergeCell ref="B179:C179"/>
    <mergeCell ref="D179:E179"/>
    <mergeCell ref="F179:G179"/>
    <mergeCell ref="B180:C180"/>
    <mergeCell ref="D180:E180"/>
    <mergeCell ref="F180:G180"/>
    <mergeCell ref="E171:E172"/>
    <mergeCell ref="F171:F172"/>
    <mergeCell ref="B171:C172"/>
    <mergeCell ref="B173:C173"/>
    <mergeCell ref="B174:C174"/>
    <mergeCell ref="B165:C165"/>
    <mergeCell ref="D165:E165"/>
    <mergeCell ref="F165:G165"/>
    <mergeCell ref="F146:F147"/>
    <mergeCell ref="D151:G151"/>
    <mergeCell ref="B152:C152"/>
    <mergeCell ref="D152:E152"/>
    <mergeCell ref="F152:G152"/>
    <mergeCell ref="B164:C164"/>
    <mergeCell ref="D164:E164"/>
    <mergeCell ref="F164:G164"/>
    <mergeCell ref="B162:C162"/>
    <mergeCell ref="D162:E162"/>
    <mergeCell ref="F162:G162"/>
    <mergeCell ref="B163:C163"/>
    <mergeCell ref="D163:E163"/>
    <mergeCell ref="F163:G163"/>
    <mergeCell ref="B160:C160"/>
    <mergeCell ref="D160:E160"/>
    <mergeCell ref="F160:G160"/>
    <mergeCell ref="B161:C161"/>
    <mergeCell ref="D161:E161"/>
    <mergeCell ref="F161:G161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F153:G153"/>
    <mergeCell ref="B154:C154"/>
    <mergeCell ref="D154:E154"/>
    <mergeCell ref="F154:G154"/>
    <mergeCell ref="B155:C155"/>
    <mergeCell ref="D155:E155"/>
    <mergeCell ref="F155:G155"/>
    <mergeCell ref="D140:E140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D134:E134"/>
    <mergeCell ref="D132:E132"/>
    <mergeCell ref="D133:E133"/>
    <mergeCell ref="D131:E131"/>
    <mergeCell ref="D130:E130"/>
    <mergeCell ref="B136:C136"/>
    <mergeCell ref="B135:C135"/>
    <mergeCell ref="D139:E139"/>
    <mergeCell ref="D138:E138"/>
    <mergeCell ref="D137:E137"/>
    <mergeCell ref="D136:E136"/>
    <mergeCell ref="D135:E135"/>
    <mergeCell ref="O115:P115"/>
    <mergeCell ref="N128:O128"/>
    <mergeCell ref="N127:O127"/>
    <mergeCell ref="N125:O125"/>
    <mergeCell ref="N124:O124"/>
    <mergeCell ref="L121:M121"/>
    <mergeCell ref="L128:M128"/>
    <mergeCell ref="L127:M127"/>
    <mergeCell ref="L125:M125"/>
    <mergeCell ref="L124:M124"/>
    <mergeCell ref="L117:M117"/>
    <mergeCell ref="D128:G128"/>
    <mergeCell ref="D129:E129"/>
    <mergeCell ref="B138:C138"/>
    <mergeCell ref="B112:C115"/>
    <mergeCell ref="B116:C116"/>
    <mergeCell ref="B125:C125"/>
    <mergeCell ref="B124:C124"/>
    <mergeCell ref="B123:C123"/>
    <mergeCell ref="O96:P96"/>
    <mergeCell ref="O97:P97"/>
    <mergeCell ref="O98:P98"/>
    <mergeCell ref="J100:K100"/>
    <mergeCell ref="J99:K99"/>
    <mergeCell ref="J98:K98"/>
    <mergeCell ref="J97:K97"/>
    <mergeCell ref="J96:K96"/>
    <mergeCell ref="D115:F115"/>
    <mergeCell ref="J115:K115"/>
    <mergeCell ref="J114:K114"/>
    <mergeCell ref="J113:K113"/>
    <mergeCell ref="J112:K112"/>
    <mergeCell ref="J111:K111"/>
    <mergeCell ref="J110:K110"/>
    <mergeCell ref="J107:K107"/>
    <mergeCell ref="J108:K108"/>
    <mergeCell ref="J106:K106"/>
    <mergeCell ref="J105:K105"/>
    <mergeCell ref="J104:K104"/>
    <mergeCell ref="J103:K103"/>
    <mergeCell ref="J102:K102"/>
    <mergeCell ref="D95:F95"/>
    <mergeCell ref="J101:K101"/>
    <mergeCell ref="J95:K95"/>
    <mergeCell ref="B110:C111"/>
    <mergeCell ref="B95:C95"/>
    <mergeCell ref="D108:F108"/>
    <mergeCell ref="D107:F107"/>
    <mergeCell ref="D106:F106"/>
    <mergeCell ref="D105:F105"/>
    <mergeCell ref="D104:F104"/>
    <mergeCell ref="D103:F103"/>
    <mergeCell ref="D102:F102"/>
    <mergeCell ref="D101:F101"/>
    <mergeCell ref="D100:F100"/>
    <mergeCell ref="D99:F99"/>
    <mergeCell ref="D97:F97"/>
    <mergeCell ref="D98:F98"/>
    <mergeCell ref="D96:F96"/>
    <mergeCell ref="B96:C105"/>
    <mergeCell ref="B106:C109"/>
    <mergeCell ref="J88:K88"/>
    <mergeCell ref="J87:K87"/>
    <mergeCell ref="B78:H78"/>
    <mergeCell ref="B79:C79"/>
    <mergeCell ref="B87:C87"/>
    <mergeCell ref="B88:C88"/>
    <mergeCell ref="D88:E88"/>
    <mergeCell ref="D87:E87"/>
    <mergeCell ref="F86:G86"/>
    <mergeCell ref="H88:I88"/>
    <mergeCell ref="H87:I87"/>
    <mergeCell ref="H86:I86"/>
    <mergeCell ref="F88:G88"/>
    <mergeCell ref="F87:G87"/>
    <mergeCell ref="B86:C86"/>
    <mergeCell ref="D86:E86"/>
    <mergeCell ref="J86:K86"/>
    <mergeCell ref="B66:H66"/>
    <mergeCell ref="B72:C73"/>
    <mergeCell ref="B74:C75"/>
    <mergeCell ref="B77:C77"/>
    <mergeCell ref="D72:E73"/>
    <mergeCell ref="D74:E74"/>
    <mergeCell ref="D77:E77"/>
    <mergeCell ref="D75:E75"/>
    <mergeCell ref="F72:F73"/>
    <mergeCell ref="G77:H77"/>
    <mergeCell ref="G75:H75"/>
    <mergeCell ref="G74:H74"/>
    <mergeCell ref="G72:H73"/>
    <mergeCell ref="B76:H76"/>
    <mergeCell ref="B67:C67"/>
    <mergeCell ref="D60:E60"/>
    <mergeCell ref="F53:F54"/>
    <mergeCell ref="G53:H54"/>
    <mergeCell ref="G58:H58"/>
    <mergeCell ref="G57:H57"/>
    <mergeCell ref="G56:H56"/>
    <mergeCell ref="G55:H55"/>
    <mergeCell ref="B55:C58"/>
    <mergeCell ref="D53:E54"/>
    <mergeCell ref="D58:E58"/>
    <mergeCell ref="D57:E57"/>
    <mergeCell ref="D56:E56"/>
    <mergeCell ref="D55:E55"/>
    <mergeCell ref="B60:C65"/>
    <mergeCell ref="G63:H63"/>
    <mergeCell ref="G62:H62"/>
    <mergeCell ref="G61:H61"/>
    <mergeCell ref="G60:H60"/>
    <mergeCell ref="D65:E65"/>
    <mergeCell ref="D64:E64"/>
    <mergeCell ref="D63:E63"/>
    <mergeCell ref="D62:E62"/>
    <mergeCell ref="D61:E61"/>
    <mergeCell ref="B42:C43"/>
    <mergeCell ref="B44:C44"/>
    <mergeCell ref="B45:C45"/>
    <mergeCell ref="B47:C47"/>
    <mergeCell ref="B53:C54"/>
    <mergeCell ref="H31:K31"/>
    <mergeCell ref="B31:C32"/>
    <mergeCell ref="B33:C33"/>
    <mergeCell ref="B34:C34"/>
    <mergeCell ref="F34:G34"/>
    <mergeCell ref="F33:G33"/>
    <mergeCell ref="F31:G32"/>
    <mergeCell ref="D34:E34"/>
    <mergeCell ref="D33:E33"/>
    <mergeCell ref="D31:E32"/>
    <mergeCell ref="D24:E24"/>
    <mergeCell ref="B16:C16"/>
    <mergeCell ref="B15:C15"/>
    <mergeCell ref="H15:I15"/>
    <mergeCell ref="H16:I16"/>
    <mergeCell ref="F16:G16"/>
    <mergeCell ref="F15:G15"/>
    <mergeCell ref="D16:E16"/>
    <mergeCell ref="D15:E15"/>
    <mergeCell ref="O99:P99"/>
    <mergeCell ref="O100:P100"/>
    <mergeCell ref="O101:P101"/>
    <mergeCell ref="O102:P102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H121:I121"/>
    <mergeCell ref="D171:D172"/>
    <mergeCell ref="N120:O120"/>
    <mergeCell ref="N123:O123"/>
    <mergeCell ref="N122:O122"/>
    <mergeCell ref="N121:O121"/>
    <mergeCell ref="N117:O117"/>
    <mergeCell ref="L120:M120"/>
    <mergeCell ref="L123:M123"/>
    <mergeCell ref="L122:M122"/>
    <mergeCell ref="D114:F114"/>
    <mergeCell ref="D113:F113"/>
    <mergeCell ref="D112:F112"/>
    <mergeCell ref="D111:F111"/>
    <mergeCell ref="D110:F110"/>
    <mergeCell ref="D109:F109"/>
    <mergeCell ref="J109:K109"/>
    <mergeCell ref="B177:C177"/>
    <mergeCell ref="D177:E177"/>
    <mergeCell ref="F177:G177"/>
    <mergeCell ref="B178:C178"/>
    <mergeCell ref="D178:E178"/>
    <mergeCell ref="B141:C141"/>
    <mergeCell ref="B129:C129"/>
    <mergeCell ref="B134:C134"/>
    <mergeCell ref="B133:C133"/>
    <mergeCell ref="B132:C132"/>
    <mergeCell ref="B131:C131"/>
    <mergeCell ref="B130:C130"/>
    <mergeCell ref="B140:C140"/>
    <mergeCell ref="B139:C139"/>
    <mergeCell ref="B166:C166"/>
    <mergeCell ref="B146:C147"/>
    <mergeCell ref="D146:D147"/>
    <mergeCell ref="E146:E147"/>
    <mergeCell ref="B148:C148"/>
    <mergeCell ref="B149:C149"/>
    <mergeCell ref="B153:C153"/>
    <mergeCell ref="D153:E153"/>
    <mergeCell ref="D176:G176"/>
    <mergeCell ref="B137:C137"/>
    <mergeCell ref="B13:C14"/>
    <mergeCell ref="H13:I14"/>
    <mergeCell ref="F13:G14"/>
    <mergeCell ref="D13:E14"/>
    <mergeCell ref="B35:C35"/>
    <mergeCell ref="D42:F42"/>
    <mergeCell ref="I53:M53"/>
    <mergeCell ref="I72:M72"/>
    <mergeCell ref="A145:A146"/>
    <mergeCell ref="B90:D90"/>
    <mergeCell ref="B59:H59"/>
    <mergeCell ref="G65:H65"/>
    <mergeCell ref="G64:H64"/>
    <mergeCell ref="B27:F27"/>
    <mergeCell ref="B17:C17"/>
    <mergeCell ref="B18:D18"/>
    <mergeCell ref="F22:G22"/>
    <mergeCell ref="H22:I22"/>
    <mergeCell ref="B26:C26"/>
    <mergeCell ref="B25:C25"/>
    <mergeCell ref="B24:C24"/>
    <mergeCell ref="B22:C23"/>
    <mergeCell ref="D22:E23"/>
    <mergeCell ref="D25:E25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95250</xdr:rowOff>
              </from>
              <to>
                <xdr:col>3</xdr:col>
                <xdr:colOff>266700</xdr:colOff>
                <xdr:row>4</xdr:row>
                <xdr:rowOff>104775</xdr:rowOff>
              </to>
            </anchor>
          </objectPr>
        </oleObject>
      </mc:Choice>
      <mc:Fallback>
        <oleObject progId="PBrush" shapeId="614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417D3-94A6-4EEE-A14F-3D274360943D}">
  <dimension ref="A7:AK745"/>
  <sheetViews>
    <sheetView zoomScaleNormal="100" workbookViewId="0"/>
  </sheetViews>
  <sheetFormatPr baseColWidth="10" defaultColWidth="11.5703125" defaultRowHeight="15" x14ac:dyDescent="0.25"/>
  <sheetData>
    <row r="7" spans="2:18" ht="18" x14ac:dyDescent="0.25">
      <c r="B7" s="1" t="s">
        <v>0</v>
      </c>
    </row>
    <row r="8" spans="2:18" x14ac:dyDescent="0.25">
      <c r="B8" s="86"/>
    </row>
    <row r="9" spans="2:18" ht="18" x14ac:dyDescent="0.25">
      <c r="B9" s="1" t="s">
        <v>933</v>
      </c>
    </row>
    <row r="10" spans="2:18" s="86" customFormat="1" ht="18" x14ac:dyDescent="0.25">
      <c r="B10" s="1"/>
    </row>
    <row r="12" spans="2:18" s="398" customFormat="1" x14ac:dyDescent="0.25">
      <c r="B12" s="387" t="s">
        <v>1195</v>
      </c>
      <c r="C12" s="387"/>
      <c r="D12" s="387"/>
      <c r="E12" s="387"/>
      <c r="F12" s="387"/>
      <c r="G12" s="387"/>
      <c r="H12" s="387"/>
      <c r="I12" s="387"/>
      <c r="K12" s="64"/>
      <c r="L12" s="65"/>
      <c r="M12" s="66"/>
      <c r="N12" s="66"/>
      <c r="O12" s="66"/>
      <c r="Q12" s="68"/>
      <c r="R12" s="68"/>
    </row>
    <row r="13" spans="2:18" s="398" customFormat="1" x14ac:dyDescent="0.25">
      <c r="B13" s="991" t="s">
        <v>12</v>
      </c>
      <c r="C13" s="991"/>
      <c r="D13" s="991"/>
      <c r="E13" s="991"/>
      <c r="F13" s="991"/>
      <c r="G13" s="991"/>
      <c r="H13" s="387"/>
      <c r="I13" s="387"/>
      <c r="K13" s="64"/>
      <c r="L13" s="65"/>
      <c r="M13" s="66"/>
      <c r="N13" s="66"/>
      <c r="O13" s="66"/>
      <c r="Q13" s="68"/>
      <c r="R13" s="68"/>
    </row>
    <row r="14" spans="2:18" s="398" customFormat="1" x14ac:dyDescent="0.25">
      <c r="B14" s="667" t="s">
        <v>656</v>
      </c>
      <c r="C14" s="667"/>
      <c r="D14" s="667" t="s">
        <v>657</v>
      </c>
      <c r="E14" s="667"/>
      <c r="F14" s="667" t="s">
        <v>772</v>
      </c>
      <c r="G14" s="667"/>
      <c r="J14" s="72"/>
      <c r="K14" s="64"/>
      <c r="L14" s="65"/>
      <c r="M14" s="66"/>
      <c r="N14" s="66"/>
      <c r="O14" s="66"/>
      <c r="Q14" s="68"/>
      <c r="R14" s="68"/>
    </row>
    <row r="15" spans="2:18" s="398" customFormat="1" ht="15.75" thickBot="1" x14ac:dyDescent="0.3">
      <c r="B15" s="994" t="s">
        <v>658</v>
      </c>
      <c r="C15" s="994"/>
      <c r="D15" s="992">
        <v>1</v>
      </c>
      <c r="E15" s="992"/>
      <c r="F15" s="978" t="s">
        <v>659</v>
      </c>
      <c r="G15" s="978"/>
      <c r="K15" s="69"/>
      <c r="L15" s="65"/>
      <c r="M15" s="66"/>
      <c r="N15" s="66"/>
      <c r="O15" s="66"/>
      <c r="Q15" s="68"/>
      <c r="R15" s="68"/>
    </row>
    <row r="16" spans="2:18" s="398" customFormat="1" ht="15.75" thickBot="1" x14ac:dyDescent="0.3">
      <c r="B16" s="994" t="s">
        <v>660</v>
      </c>
      <c r="C16" s="994"/>
      <c r="D16" s="992">
        <v>1</v>
      </c>
      <c r="E16" s="992"/>
      <c r="F16" s="978" t="s">
        <v>659</v>
      </c>
      <c r="G16" s="978"/>
      <c r="K16" s="69"/>
      <c r="L16" s="65"/>
      <c r="M16" s="66"/>
      <c r="N16" s="66"/>
      <c r="O16" s="66"/>
      <c r="Q16" s="68"/>
      <c r="R16" s="68"/>
    </row>
    <row r="17" spans="2:18" s="398" customFormat="1" ht="15.75" thickBot="1" x14ac:dyDescent="0.3">
      <c r="B17" s="994" t="s">
        <v>661</v>
      </c>
      <c r="C17" s="994"/>
      <c r="D17" s="992">
        <v>1</v>
      </c>
      <c r="E17" s="992"/>
      <c r="F17" s="978" t="s">
        <v>659</v>
      </c>
      <c r="G17" s="978"/>
      <c r="K17" s="69"/>
      <c r="L17" s="65"/>
      <c r="M17" s="66"/>
      <c r="N17" s="66"/>
      <c r="O17" s="66"/>
      <c r="Q17" s="68"/>
      <c r="R17" s="68"/>
    </row>
    <row r="18" spans="2:18" s="398" customFormat="1" ht="15.75" thickBot="1" x14ac:dyDescent="0.3">
      <c r="B18" s="994" t="s">
        <v>662</v>
      </c>
      <c r="C18" s="994"/>
      <c r="D18" s="992">
        <v>1</v>
      </c>
      <c r="E18" s="992"/>
      <c r="F18" s="978" t="s">
        <v>659</v>
      </c>
      <c r="G18" s="978"/>
      <c r="K18" s="69"/>
      <c r="L18" s="65"/>
      <c r="M18" s="66"/>
      <c r="N18" s="66"/>
      <c r="O18" s="66"/>
      <c r="Q18" s="68"/>
      <c r="R18" s="68"/>
    </row>
    <row r="19" spans="2:18" s="398" customFormat="1" ht="15.75" thickBot="1" x14ac:dyDescent="0.3">
      <c r="B19" s="994" t="s">
        <v>663</v>
      </c>
      <c r="C19" s="994"/>
      <c r="D19" s="992">
        <v>2</v>
      </c>
      <c r="E19" s="992"/>
      <c r="F19" s="978" t="s">
        <v>659</v>
      </c>
      <c r="G19" s="978"/>
      <c r="K19" s="69"/>
      <c r="L19" s="65"/>
      <c r="M19" s="66"/>
      <c r="N19" s="66"/>
      <c r="O19" s="66"/>
      <c r="Q19" s="68"/>
      <c r="R19" s="68"/>
    </row>
    <row r="20" spans="2:18" s="398" customFormat="1" ht="15.75" thickBot="1" x14ac:dyDescent="0.3">
      <c r="B20" s="994" t="s">
        <v>664</v>
      </c>
      <c r="C20" s="994"/>
      <c r="D20" s="992">
        <v>1</v>
      </c>
      <c r="E20" s="992"/>
      <c r="F20" s="978" t="s">
        <v>659</v>
      </c>
      <c r="G20" s="978"/>
      <c r="K20" s="69"/>
      <c r="L20" s="65"/>
      <c r="M20" s="66"/>
      <c r="N20" s="66"/>
      <c r="O20" s="66"/>
      <c r="Q20" s="68"/>
      <c r="R20" s="68"/>
    </row>
    <row r="21" spans="2:18" s="398" customFormat="1" ht="15.75" thickBot="1" x14ac:dyDescent="0.3">
      <c r="B21" s="994" t="s">
        <v>665</v>
      </c>
      <c r="C21" s="994"/>
      <c r="D21" s="992">
        <v>1</v>
      </c>
      <c r="E21" s="992"/>
      <c r="F21" s="978" t="s">
        <v>659</v>
      </c>
      <c r="G21" s="978"/>
      <c r="J21" s="55"/>
      <c r="K21" s="69"/>
      <c r="L21" s="65"/>
      <c r="M21" s="66"/>
      <c r="N21" s="66"/>
      <c r="O21" s="66"/>
      <c r="Q21" s="68"/>
      <c r="R21" s="68"/>
    </row>
    <row r="22" spans="2:18" s="398" customFormat="1" ht="15.75" thickBot="1" x14ac:dyDescent="0.3">
      <c r="B22" s="994" t="s">
        <v>666</v>
      </c>
      <c r="C22" s="994"/>
      <c r="D22" s="992">
        <v>1</v>
      </c>
      <c r="E22" s="992"/>
      <c r="F22" s="978" t="s">
        <v>659</v>
      </c>
      <c r="G22" s="978"/>
      <c r="J22" s="55"/>
      <c r="K22" s="69"/>
      <c r="L22" s="65"/>
      <c r="M22" s="66"/>
      <c r="N22" s="66"/>
      <c r="O22" s="66"/>
      <c r="Q22" s="68"/>
      <c r="R22" s="68"/>
    </row>
    <row r="23" spans="2:18" s="398" customFormat="1" ht="15.75" thickBot="1" x14ac:dyDescent="0.3">
      <c r="B23" s="994" t="s">
        <v>667</v>
      </c>
      <c r="C23" s="994"/>
      <c r="D23" s="992">
        <v>1</v>
      </c>
      <c r="E23" s="992"/>
      <c r="F23" s="978" t="s">
        <v>659</v>
      </c>
      <c r="G23" s="978"/>
      <c r="K23" s="69"/>
      <c r="L23" s="65"/>
      <c r="M23" s="65"/>
      <c r="Q23" s="68"/>
      <c r="R23" s="68"/>
    </row>
    <row r="24" spans="2:18" s="398" customFormat="1" ht="15.75" thickBot="1" x14ac:dyDescent="0.3">
      <c r="B24" s="994" t="s">
        <v>668</v>
      </c>
      <c r="C24" s="994"/>
      <c r="D24" s="992">
        <v>1</v>
      </c>
      <c r="E24" s="992"/>
      <c r="F24" s="978" t="s">
        <v>659</v>
      </c>
      <c r="G24" s="978"/>
      <c r="K24" s="69"/>
      <c r="L24" s="65"/>
      <c r="M24" s="65"/>
      <c r="Q24" s="68"/>
      <c r="R24" s="68"/>
    </row>
    <row r="25" spans="2:18" s="398" customFormat="1" ht="15.75" thickBot="1" x14ac:dyDescent="0.3">
      <c r="B25" s="994" t="s">
        <v>669</v>
      </c>
      <c r="C25" s="994"/>
      <c r="D25" s="992">
        <v>1</v>
      </c>
      <c r="E25" s="992"/>
      <c r="F25" s="978" t="s">
        <v>659</v>
      </c>
      <c r="G25" s="978"/>
      <c r="K25" s="69"/>
      <c r="L25" s="65"/>
      <c r="M25" s="65"/>
      <c r="Q25" s="68"/>
      <c r="R25" s="68"/>
    </row>
    <row r="26" spans="2:18" s="398" customFormat="1" x14ac:dyDescent="0.25">
      <c r="B26" s="993" t="s">
        <v>670</v>
      </c>
      <c r="C26" s="993"/>
      <c r="D26" s="989">
        <v>1</v>
      </c>
      <c r="E26" s="989"/>
      <c r="F26" s="979" t="s">
        <v>659</v>
      </c>
      <c r="G26" s="979"/>
      <c r="K26" s="69"/>
      <c r="L26" s="65"/>
      <c r="M26" s="65"/>
      <c r="Q26" s="68"/>
      <c r="R26" s="68"/>
    </row>
    <row r="27" spans="2:18" s="398" customFormat="1" ht="15.75" thickBot="1" x14ac:dyDescent="0.3">
      <c r="B27" s="990" t="s">
        <v>90</v>
      </c>
      <c r="C27" s="990"/>
      <c r="D27" s="986">
        <f>SUM(D15:D26)</f>
        <v>13</v>
      </c>
      <c r="E27" s="986"/>
      <c r="F27" s="986"/>
      <c r="G27" s="986"/>
      <c r="K27" s="69"/>
      <c r="L27" s="65"/>
      <c r="M27" s="65"/>
      <c r="Q27" s="68"/>
      <c r="R27" s="68"/>
    </row>
    <row r="28" spans="2:18" s="398" customFormat="1" x14ac:dyDescent="0.25">
      <c r="B28" s="82"/>
      <c r="C28" s="83"/>
      <c r="D28" s="84"/>
      <c r="K28" s="69"/>
      <c r="L28" s="65"/>
      <c r="M28" s="65"/>
      <c r="Q28" s="68"/>
      <c r="R28" s="68"/>
    </row>
    <row r="29" spans="2:18" s="398" customFormat="1" x14ac:dyDescent="0.25">
      <c r="B29" s="991" t="s">
        <v>13</v>
      </c>
      <c r="C29" s="991"/>
      <c r="D29" s="991"/>
      <c r="E29" s="991"/>
      <c r="F29" s="991"/>
      <c r="G29" s="991"/>
      <c r="K29" s="69"/>
      <c r="L29" s="65"/>
      <c r="M29" s="65"/>
      <c r="Q29" s="68"/>
      <c r="R29" s="68"/>
    </row>
    <row r="30" spans="2:18" s="398" customFormat="1" ht="15" customHeight="1" x14ac:dyDescent="0.25">
      <c r="B30" s="667" t="s">
        <v>656</v>
      </c>
      <c r="C30" s="667"/>
      <c r="D30" s="667" t="s">
        <v>657</v>
      </c>
      <c r="E30" s="667"/>
      <c r="F30" s="667" t="s">
        <v>772</v>
      </c>
      <c r="G30" s="667"/>
    </row>
    <row r="31" spans="2:18" s="398" customFormat="1" ht="15" customHeight="1" x14ac:dyDescent="0.25">
      <c r="B31" s="980" t="s">
        <v>773</v>
      </c>
      <c r="C31" s="980"/>
      <c r="D31" s="989">
        <v>22</v>
      </c>
      <c r="E31" s="989"/>
      <c r="F31" s="979" t="s">
        <v>659</v>
      </c>
      <c r="G31" s="979"/>
    </row>
    <row r="32" spans="2:18" s="398" customFormat="1" x14ac:dyDescent="0.25">
      <c r="B32" s="980"/>
      <c r="C32" s="980"/>
      <c r="D32" s="989">
        <v>4</v>
      </c>
      <c r="E32" s="989"/>
      <c r="F32" s="979" t="s">
        <v>659</v>
      </c>
      <c r="G32" s="979"/>
    </row>
    <row r="33" spans="2:7" s="398" customFormat="1" ht="15.75" thickBot="1" x14ac:dyDescent="0.3">
      <c r="B33" s="981"/>
      <c r="C33" s="981"/>
      <c r="D33" s="992">
        <v>4</v>
      </c>
      <c r="E33" s="992"/>
      <c r="F33" s="978" t="s">
        <v>659</v>
      </c>
      <c r="G33" s="978"/>
    </row>
    <row r="34" spans="2:7" s="398" customFormat="1" ht="15.75" customHeight="1" x14ac:dyDescent="0.25">
      <c r="B34" s="988" t="s">
        <v>774</v>
      </c>
      <c r="C34" s="988"/>
      <c r="D34" s="989">
        <v>11</v>
      </c>
      <c r="E34" s="989"/>
      <c r="F34" s="979" t="s">
        <v>659</v>
      </c>
      <c r="G34" s="979"/>
    </row>
    <row r="35" spans="2:7" s="398" customFormat="1" ht="15.75" thickBot="1" x14ac:dyDescent="0.3">
      <c r="B35" s="981"/>
      <c r="C35" s="981"/>
      <c r="D35" s="992">
        <v>3</v>
      </c>
      <c r="E35" s="992"/>
      <c r="F35" s="978" t="s">
        <v>659</v>
      </c>
      <c r="G35" s="978"/>
    </row>
    <row r="36" spans="2:7" s="398" customFormat="1" ht="15" customHeight="1" x14ac:dyDescent="0.25">
      <c r="B36" s="980" t="s">
        <v>775</v>
      </c>
      <c r="C36" s="980"/>
      <c r="D36" s="989">
        <v>0</v>
      </c>
      <c r="E36" s="989"/>
      <c r="F36" s="979" t="s">
        <v>659</v>
      </c>
      <c r="G36" s="979"/>
    </row>
    <row r="37" spans="2:7" s="398" customFormat="1" x14ac:dyDescent="0.25">
      <c r="B37" s="980"/>
      <c r="C37" s="980"/>
      <c r="D37" s="989">
        <v>13</v>
      </c>
      <c r="E37" s="989"/>
      <c r="F37" s="979" t="s">
        <v>659</v>
      </c>
      <c r="G37" s="979"/>
    </row>
    <row r="38" spans="2:7" s="398" customFormat="1" ht="15.75" thickBot="1" x14ac:dyDescent="0.3">
      <c r="B38" s="981"/>
      <c r="C38" s="981"/>
      <c r="D38" s="992">
        <v>7</v>
      </c>
      <c r="E38" s="992"/>
      <c r="F38" s="978" t="s">
        <v>659</v>
      </c>
      <c r="G38" s="978"/>
    </row>
    <row r="39" spans="2:7" s="398" customFormat="1" ht="15" customHeight="1" x14ac:dyDescent="0.25">
      <c r="B39" s="984" t="s">
        <v>776</v>
      </c>
      <c r="C39" s="984"/>
      <c r="D39" s="989">
        <v>0</v>
      </c>
      <c r="E39" s="989"/>
      <c r="F39" s="979" t="s">
        <v>659</v>
      </c>
      <c r="G39" s="979"/>
    </row>
    <row r="40" spans="2:7" s="398" customFormat="1" x14ac:dyDescent="0.25">
      <c r="B40" s="984"/>
      <c r="C40" s="984"/>
      <c r="D40" s="989">
        <v>30</v>
      </c>
      <c r="E40" s="989"/>
      <c r="F40" s="979" t="s">
        <v>659</v>
      </c>
      <c r="G40" s="979"/>
    </row>
    <row r="41" spans="2:7" s="398" customFormat="1" ht="15.75" thickBot="1" x14ac:dyDescent="0.3">
      <c r="B41" s="985"/>
      <c r="C41" s="985"/>
      <c r="D41" s="992">
        <v>0</v>
      </c>
      <c r="E41" s="992"/>
      <c r="F41" s="978" t="s">
        <v>659</v>
      </c>
      <c r="G41" s="978"/>
    </row>
    <row r="42" spans="2:7" s="398" customFormat="1" x14ac:dyDescent="0.25">
      <c r="B42" s="984" t="s">
        <v>777</v>
      </c>
      <c r="C42" s="984"/>
      <c r="D42" s="989">
        <v>11</v>
      </c>
      <c r="E42" s="989"/>
      <c r="F42" s="979" t="s">
        <v>659</v>
      </c>
      <c r="G42" s="979"/>
    </row>
    <row r="43" spans="2:7" s="398" customFormat="1" x14ac:dyDescent="0.25">
      <c r="B43" s="984"/>
      <c r="C43" s="984"/>
      <c r="D43" s="989">
        <v>2</v>
      </c>
      <c r="E43" s="989"/>
      <c r="F43" s="979" t="s">
        <v>659</v>
      </c>
      <c r="G43" s="979"/>
    </row>
    <row r="44" spans="2:7" s="398" customFormat="1" ht="15.75" thickBot="1" x14ac:dyDescent="0.3">
      <c r="B44" s="985"/>
      <c r="C44" s="985"/>
      <c r="D44" s="992">
        <v>1</v>
      </c>
      <c r="E44" s="992"/>
      <c r="F44" s="978" t="s">
        <v>659</v>
      </c>
      <c r="G44" s="978"/>
    </row>
    <row r="45" spans="2:7" s="398" customFormat="1" ht="21.75" customHeight="1" thickBot="1" x14ac:dyDescent="0.3">
      <c r="B45" s="985" t="s">
        <v>778</v>
      </c>
      <c r="C45" s="985"/>
      <c r="D45" s="992">
        <v>2</v>
      </c>
      <c r="E45" s="992"/>
      <c r="F45" s="978" t="s">
        <v>659</v>
      </c>
      <c r="G45" s="978"/>
    </row>
    <row r="46" spans="2:7" s="398" customFormat="1" ht="24.75" customHeight="1" thickBot="1" x14ac:dyDescent="0.3">
      <c r="B46" s="985" t="s">
        <v>779</v>
      </c>
      <c r="C46" s="985"/>
      <c r="D46" s="804">
        <v>14</v>
      </c>
      <c r="E46" s="804"/>
      <c r="F46" s="987" t="s">
        <v>659</v>
      </c>
      <c r="G46" s="987"/>
    </row>
    <row r="47" spans="2:7" s="398" customFormat="1" ht="15.75" customHeight="1" x14ac:dyDescent="0.25">
      <c r="B47" s="984" t="s">
        <v>1126</v>
      </c>
      <c r="C47" s="984"/>
      <c r="D47" s="989">
        <v>11</v>
      </c>
      <c r="E47" s="989"/>
      <c r="F47" s="979" t="s">
        <v>659</v>
      </c>
      <c r="G47" s="979"/>
    </row>
    <row r="48" spans="2:7" s="398" customFormat="1" ht="15.75" thickBot="1" x14ac:dyDescent="0.3">
      <c r="B48" s="985"/>
      <c r="C48" s="985"/>
      <c r="D48" s="804">
        <v>3</v>
      </c>
      <c r="E48" s="804"/>
      <c r="F48" s="978" t="s">
        <v>659</v>
      </c>
      <c r="G48" s="978"/>
    </row>
    <row r="49" spans="2:7" s="398" customFormat="1" ht="15.75" customHeight="1" x14ac:dyDescent="0.25">
      <c r="B49" s="984" t="s">
        <v>1127</v>
      </c>
      <c r="C49" s="984"/>
      <c r="D49" s="989">
        <v>5</v>
      </c>
      <c r="E49" s="989"/>
      <c r="F49" s="979" t="s">
        <v>659</v>
      </c>
      <c r="G49" s="979"/>
    </row>
    <row r="50" spans="2:7" s="398" customFormat="1" ht="15.75" thickBot="1" x14ac:dyDescent="0.3">
      <c r="B50" s="985"/>
      <c r="C50" s="985"/>
      <c r="D50" s="804">
        <v>1</v>
      </c>
      <c r="E50" s="804"/>
      <c r="F50" s="978" t="s">
        <v>659</v>
      </c>
      <c r="G50" s="978"/>
    </row>
    <row r="51" spans="2:7" s="398" customFormat="1" ht="15.75" customHeight="1" x14ac:dyDescent="0.25">
      <c r="B51" s="984" t="s">
        <v>1128</v>
      </c>
      <c r="C51" s="984"/>
      <c r="D51" s="989">
        <v>4</v>
      </c>
      <c r="E51" s="989"/>
      <c r="F51" s="979" t="s">
        <v>659</v>
      </c>
      <c r="G51" s="979"/>
    </row>
    <row r="52" spans="2:7" s="398" customFormat="1" x14ac:dyDescent="0.25">
      <c r="B52" s="984"/>
      <c r="C52" s="984"/>
      <c r="D52" s="989">
        <v>11</v>
      </c>
      <c r="E52" s="989"/>
      <c r="F52" s="979" t="s">
        <v>659</v>
      </c>
      <c r="G52" s="979"/>
    </row>
    <row r="53" spans="2:7" s="398" customFormat="1" ht="15.75" thickBot="1" x14ac:dyDescent="0.3">
      <c r="B53" s="985"/>
      <c r="C53" s="985"/>
      <c r="D53" s="804">
        <v>3</v>
      </c>
      <c r="E53" s="804"/>
      <c r="F53" s="978" t="s">
        <v>659</v>
      </c>
      <c r="G53" s="978"/>
    </row>
    <row r="54" spans="2:7" s="398" customFormat="1" ht="36" customHeight="1" thickBot="1" x14ac:dyDescent="0.3">
      <c r="B54" s="985" t="s">
        <v>1129</v>
      </c>
      <c r="C54" s="985"/>
      <c r="D54" s="804">
        <v>7</v>
      </c>
      <c r="E54" s="804"/>
      <c r="F54" s="978" t="s">
        <v>659</v>
      </c>
      <c r="G54" s="978"/>
    </row>
    <row r="55" spans="2:7" s="398" customFormat="1" ht="48" customHeight="1" thickBot="1" x14ac:dyDescent="0.3">
      <c r="B55" s="985" t="s">
        <v>780</v>
      </c>
      <c r="C55" s="985"/>
      <c r="D55" s="804">
        <v>1</v>
      </c>
      <c r="E55" s="804"/>
      <c r="F55" s="978" t="s">
        <v>659</v>
      </c>
      <c r="G55" s="978"/>
    </row>
    <row r="56" spans="2:7" s="398" customFormat="1" ht="29.25" customHeight="1" thickBot="1" x14ac:dyDescent="0.3">
      <c r="B56" s="982" t="s">
        <v>781</v>
      </c>
      <c r="C56" s="982"/>
      <c r="D56" s="804">
        <v>6</v>
      </c>
      <c r="E56" s="804"/>
      <c r="F56" s="978" t="s">
        <v>659</v>
      </c>
      <c r="G56" s="978"/>
    </row>
    <row r="57" spans="2:7" s="398" customFormat="1" ht="27" customHeight="1" thickBot="1" x14ac:dyDescent="0.3">
      <c r="B57" s="985" t="s">
        <v>1130</v>
      </c>
      <c r="C57" s="985"/>
      <c r="D57" s="804">
        <v>2</v>
      </c>
      <c r="E57" s="804"/>
      <c r="F57" s="978" t="s">
        <v>659</v>
      </c>
      <c r="G57" s="978"/>
    </row>
    <row r="58" spans="2:7" s="398" customFormat="1" ht="21.75" customHeight="1" thickBot="1" x14ac:dyDescent="0.3">
      <c r="B58" s="985" t="s">
        <v>782</v>
      </c>
      <c r="C58" s="985"/>
      <c r="D58" s="804">
        <v>1</v>
      </c>
      <c r="E58" s="804"/>
      <c r="F58" s="978" t="s">
        <v>659</v>
      </c>
      <c r="G58" s="978"/>
    </row>
    <row r="59" spans="2:7" s="398" customFormat="1" ht="29.25" customHeight="1" thickBot="1" x14ac:dyDescent="0.3">
      <c r="B59" s="985" t="s">
        <v>1148</v>
      </c>
      <c r="C59" s="985"/>
      <c r="D59" s="804">
        <v>1</v>
      </c>
      <c r="E59" s="804"/>
      <c r="F59" s="978" t="s">
        <v>659</v>
      </c>
      <c r="G59" s="978"/>
    </row>
    <row r="60" spans="2:7" s="398" customFormat="1" ht="29.25" customHeight="1" thickBot="1" x14ac:dyDescent="0.3">
      <c r="B60" s="985" t="s">
        <v>783</v>
      </c>
      <c r="C60" s="985"/>
      <c r="D60" s="804">
        <v>1</v>
      </c>
      <c r="E60" s="804"/>
      <c r="F60" s="978" t="s">
        <v>659</v>
      </c>
      <c r="G60" s="978"/>
    </row>
    <row r="61" spans="2:7" s="398" customFormat="1" ht="32.25" customHeight="1" thickBot="1" x14ac:dyDescent="0.3">
      <c r="B61" s="985" t="s">
        <v>1149</v>
      </c>
      <c r="C61" s="985"/>
      <c r="D61" s="804">
        <v>1</v>
      </c>
      <c r="E61" s="804"/>
      <c r="F61" s="978" t="s">
        <v>659</v>
      </c>
      <c r="G61" s="978"/>
    </row>
    <row r="62" spans="2:7" s="398" customFormat="1" ht="21.75" customHeight="1" thickBot="1" x14ac:dyDescent="0.3">
      <c r="B62" s="985" t="s">
        <v>1131</v>
      </c>
      <c r="C62" s="985"/>
      <c r="D62" s="804">
        <v>1</v>
      </c>
      <c r="E62" s="804"/>
      <c r="F62" s="978" t="s">
        <v>659</v>
      </c>
      <c r="G62" s="978"/>
    </row>
    <row r="63" spans="2:7" s="398" customFormat="1" ht="32.25" customHeight="1" thickBot="1" x14ac:dyDescent="0.3">
      <c r="B63" s="985" t="s">
        <v>1152</v>
      </c>
      <c r="C63" s="985"/>
      <c r="D63" s="804">
        <v>1</v>
      </c>
      <c r="E63" s="804"/>
      <c r="F63" s="978" t="s">
        <v>659</v>
      </c>
      <c r="G63" s="978"/>
    </row>
    <row r="64" spans="2:7" s="398" customFormat="1" ht="30" customHeight="1" thickBot="1" x14ac:dyDescent="0.3">
      <c r="B64" s="982" t="s">
        <v>1153</v>
      </c>
      <c r="C64" s="982"/>
      <c r="D64" s="804">
        <v>1</v>
      </c>
      <c r="E64" s="804"/>
      <c r="F64" s="978" t="s">
        <v>659</v>
      </c>
      <c r="G64" s="978"/>
    </row>
    <row r="65" spans="2:7" s="398" customFormat="1" ht="30.75" customHeight="1" thickBot="1" x14ac:dyDescent="0.3">
      <c r="B65" s="982" t="s">
        <v>1150</v>
      </c>
      <c r="C65" s="982"/>
      <c r="D65" s="804">
        <v>1</v>
      </c>
      <c r="E65" s="804"/>
      <c r="F65" s="978" t="s">
        <v>659</v>
      </c>
      <c r="G65" s="978"/>
    </row>
    <row r="66" spans="2:7" s="398" customFormat="1" ht="32.25" customHeight="1" thickBot="1" x14ac:dyDescent="0.3">
      <c r="B66" s="982" t="s">
        <v>1154</v>
      </c>
      <c r="C66" s="982"/>
      <c r="D66" s="804">
        <v>1</v>
      </c>
      <c r="E66" s="804"/>
      <c r="F66" s="978" t="s">
        <v>659</v>
      </c>
      <c r="G66" s="978"/>
    </row>
    <row r="67" spans="2:7" s="398" customFormat="1" ht="28.5" customHeight="1" thickBot="1" x14ac:dyDescent="0.3">
      <c r="B67" s="982" t="s">
        <v>1155</v>
      </c>
      <c r="C67" s="982"/>
      <c r="D67" s="804">
        <v>1</v>
      </c>
      <c r="E67" s="804"/>
      <c r="F67" s="978" t="s">
        <v>659</v>
      </c>
      <c r="G67" s="978"/>
    </row>
    <row r="68" spans="2:7" s="398" customFormat="1" ht="27.75" customHeight="1" thickBot="1" x14ac:dyDescent="0.3">
      <c r="B68" s="982" t="s">
        <v>1156</v>
      </c>
      <c r="C68" s="982"/>
      <c r="D68" s="804">
        <v>1</v>
      </c>
      <c r="E68" s="804"/>
      <c r="F68" s="978" t="s">
        <v>659</v>
      </c>
      <c r="G68" s="978"/>
    </row>
    <row r="69" spans="2:7" s="398" customFormat="1" ht="46.5" customHeight="1" thickBot="1" x14ac:dyDescent="0.3">
      <c r="B69" s="982" t="s">
        <v>1132</v>
      </c>
      <c r="C69" s="982"/>
      <c r="D69" s="804">
        <v>1</v>
      </c>
      <c r="E69" s="804"/>
      <c r="F69" s="978" t="s">
        <v>659</v>
      </c>
      <c r="G69" s="978"/>
    </row>
    <row r="70" spans="2:7" s="398" customFormat="1" ht="21.75" customHeight="1" thickBot="1" x14ac:dyDescent="0.3">
      <c r="B70" s="982" t="s">
        <v>1133</v>
      </c>
      <c r="C70" s="982"/>
      <c r="D70" s="804">
        <v>1</v>
      </c>
      <c r="E70" s="804"/>
      <c r="F70" s="978" t="s">
        <v>659</v>
      </c>
      <c r="G70" s="978"/>
    </row>
    <row r="71" spans="2:7" s="398" customFormat="1" ht="21.75" customHeight="1" thickBot="1" x14ac:dyDescent="0.3">
      <c r="B71" s="982" t="s">
        <v>1134</v>
      </c>
      <c r="C71" s="982"/>
      <c r="D71" s="804">
        <v>1</v>
      </c>
      <c r="E71" s="804"/>
      <c r="F71" s="978" t="s">
        <v>659</v>
      </c>
      <c r="G71" s="978"/>
    </row>
    <row r="72" spans="2:7" s="398" customFormat="1" ht="25.5" customHeight="1" thickBot="1" x14ac:dyDescent="0.3">
      <c r="B72" s="982" t="s">
        <v>1157</v>
      </c>
      <c r="C72" s="982"/>
      <c r="D72" s="804">
        <v>1</v>
      </c>
      <c r="E72" s="804"/>
      <c r="F72" s="978" t="s">
        <v>659</v>
      </c>
      <c r="G72" s="978"/>
    </row>
    <row r="73" spans="2:7" s="398" customFormat="1" ht="21.75" customHeight="1" thickBot="1" x14ac:dyDescent="0.3">
      <c r="B73" s="982" t="s">
        <v>1135</v>
      </c>
      <c r="C73" s="982"/>
      <c r="D73" s="804">
        <v>1</v>
      </c>
      <c r="E73" s="804"/>
      <c r="F73" s="978" t="s">
        <v>659</v>
      </c>
      <c r="G73" s="978"/>
    </row>
    <row r="74" spans="2:7" s="398" customFormat="1" ht="30.75" customHeight="1" thickBot="1" x14ac:dyDescent="0.3">
      <c r="B74" s="985" t="s">
        <v>1198</v>
      </c>
      <c r="C74" s="985"/>
      <c r="D74" s="804">
        <v>2</v>
      </c>
      <c r="E74" s="804"/>
      <c r="F74" s="978" t="s">
        <v>659</v>
      </c>
      <c r="G74" s="978"/>
    </row>
    <row r="75" spans="2:7" s="398" customFormat="1" ht="39" customHeight="1" thickBot="1" x14ac:dyDescent="0.3">
      <c r="B75" s="985" t="s">
        <v>1199</v>
      </c>
      <c r="C75" s="985"/>
      <c r="D75" s="804">
        <v>1</v>
      </c>
      <c r="E75" s="804"/>
      <c r="F75" s="978" t="s">
        <v>659</v>
      </c>
      <c r="G75" s="978"/>
    </row>
    <row r="76" spans="2:7" s="398" customFormat="1" ht="15.75" thickBot="1" x14ac:dyDescent="0.3">
      <c r="B76" s="985" t="s">
        <v>1136</v>
      </c>
      <c r="C76" s="985"/>
      <c r="D76" s="804">
        <v>2</v>
      </c>
      <c r="E76" s="804"/>
      <c r="F76" s="978" t="s">
        <v>659</v>
      </c>
      <c r="G76" s="978"/>
    </row>
    <row r="77" spans="2:7" s="398" customFormat="1" ht="30" customHeight="1" thickBot="1" x14ac:dyDescent="0.3">
      <c r="B77" s="985" t="s">
        <v>1200</v>
      </c>
      <c r="C77" s="985"/>
      <c r="D77" s="804">
        <v>2</v>
      </c>
      <c r="E77" s="804"/>
      <c r="F77" s="978" t="s">
        <v>659</v>
      </c>
      <c r="G77" s="978"/>
    </row>
    <row r="78" spans="2:7" s="398" customFormat="1" ht="27" customHeight="1" thickBot="1" x14ac:dyDescent="0.3">
      <c r="B78" s="985" t="s">
        <v>1158</v>
      </c>
      <c r="C78" s="985"/>
      <c r="D78" s="804">
        <v>1</v>
      </c>
      <c r="E78" s="804"/>
      <c r="F78" s="978" t="s">
        <v>659</v>
      </c>
      <c r="G78" s="978"/>
    </row>
    <row r="79" spans="2:7" s="398" customFormat="1" ht="29.25" customHeight="1" thickBot="1" x14ac:dyDescent="0.3">
      <c r="B79" s="985" t="s">
        <v>1159</v>
      </c>
      <c r="C79" s="985"/>
      <c r="D79" s="804">
        <v>1</v>
      </c>
      <c r="E79" s="804"/>
      <c r="F79" s="978" t="s">
        <v>659</v>
      </c>
      <c r="G79" s="978"/>
    </row>
    <row r="80" spans="2:7" s="398" customFormat="1" ht="27" customHeight="1" thickBot="1" x14ac:dyDescent="0.3">
      <c r="B80" s="985" t="s">
        <v>1160</v>
      </c>
      <c r="C80" s="985"/>
      <c r="D80" s="804">
        <v>1</v>
      </c>
      <c r="E80" s="804"/>
      <c r="F80" s="978" t="s">
        <v>659</v>
      </c>
      <c r="G80" s="978"/>
    </row>
    <row r="81" spans="2:7" s="398" customFormat="1" ht="33.75" customHeight="1" thickBot="1" x14ac:dyDescent="0.3">
      <c r="B81" s="985" t="s">
        <v>1161</v>
      </c>
      <c r="C81" s="985"/>
      <c r="D81" s="804">
        <v>3</v>
      </c>
      <c r="E81" s="804"/>
      <c r="F81" s="978" t="s">
        <v>659</v>
      </c>
      <c r="G81" s="978"/>
    </row>
    <row r="82" spans="2:7" s="398" customFormat="1" ht="48" customHeight="1" thickBot="1" x14ac:dyDescent="0.3">
      <c r="B82" s="985" t="s">
        <v>1162</v>
      </c>
      <c r="C82" s="985"/>
      <c r="D82" s="804">
        <v>1</v>
      </c>
      <c r="E82" s="804"/>
      <c r="F82" s="978" t="s">
        <v>659</v>
      </c>
      <c r="G82" s="978"/>
    </row>
    <row r="83" spans="2:7" s="398" customFormat="1" ht="34.5" customHeight="1" thickBot="1" x14ac:dyDescent="0.3">
      <c r="B83" s="985" t="s">
        <v>1151</v>
      </c>
      <c r="C83" s="985"/>
      <c r="D83" s="804">
        <v>1</v>
      </c>
      <c r="E83" s="804"/>
      <c r="F83" s="978" t="s">
        <v>659</v>
      </c>
      <c r="G83" s="978"/>
    </row>
    <row r="84" spans="2:7" s="398" customFormat="1" ht="30" customHeight="1" thickBot="1" x14ac:dyDescent="0.3">
      <c r="B84" s="985" t="s">
        <v>1163</v>
      </c>
      <c r="C84" s="985"/>
      <c r="D84" s="804">
        <v>1</v>
      </c>
      <c r="E84" s="804"/>
      <c r="F84" s="978" t="s">
        <v>659</v>
      </c>
      <c r="G84" s="978"/>
    </row>
    <row r="85" spans="2:7" s="398" customFormat="1" ht="27.75" customHeight="1" thickBot="1" x14ac:dyDescent="0.3">
      <c r="B85" s="985" t="s">
        <v>1201</v>
      </c>
      <c r="C85" s="985"/>
      <c r="D85" s="804">
        <v>1</v>
      </c>
      <c r="E85" s="804"/>
      <c r="F85" s="978" t="s">
        <v>659</v>
      </c>
      <c r="G85" s="978"/>
    </row>
    <row r="86" spans="2:7" s="398" customFormat="1" ht="31.5" customHeight="1" thickBot="1" x14ac:dyDescent="0.3">
      <c r="B86" s="985" t="s">
        <v>1202</v>
      </c>
      <c r="C86" s="985"/>
      <c r="D86" s="804">
        <v>3</v>
      </c>
      <c r="E86" s="804"/>
      <c r="F86" s="978" t="s">
        <v>659</v>
      </c>
      <c r="G86" s="978"/>
    </row>
    <row r="87" spans="2:7" s="398" customFormat="1" ht="27" customHeight="1" thickBot="1" x14ac:dyDescent="0.3">
      <c r="B87" s="985" t="s">
        <v>1203</v>
      </c>
      <c r="C87" s="985"/>
      <c r="D87" s="804">
        <v>2</v>
      </c>
      <c r="E87" s="804"/>
      <c r="F87" s="978" t="s">
        <v>659</v>
      </c>
      <c r="G87" s="978"/>
    </row>
    <row r="88" spans="2:7" s="398" customFormat="1" ht="30.75" customHeight="1" thickBot="1" x14ac:dyDescent="0.3">
      <c r="B88" s="985" t="s">
        <v>1204</v>
      </c>
      <c r="C88" s="985"/>
      <c r="D88" s="804">
        <v>1</v>
      </c>
      <c r="E88" s="804"/>
      <c r="F88" s="978" t="s">
        <v>659</v>
      </c>
      <c r="G88" s="978"/>
    </row>
    <row r="89" spans="2:7" s="398" customFormat="1" ht="25.5" customHeight="1" thickBot="1" x14ac:dyDescent="0.3">
      <c r="B89" s="985" t="s">
        <v>1205</v>
      </c>
      <c r="C89" s="985"/>
      <c r="D89" s="804">
        <v>1</v>
      </c>
      <c r="E89" s="804"/>
      <c r="F89" s="978" t="s">
        <v>659</v>
      </c>
      <c r="G89" s="978"/>
    </row>
    <row r="90" spans="2:7" s="398" customFormat="1" ht="23.25" customHeight="1" thickBot="1" x14ac:dyDescent="0.3">
      <c r="B90" s="985" t="s">
        <v>1137</v>
      </c>
      <c r="C90" s="985"/>
      <c r="D90" s="804">
        <v>1</v>
      </c>
      <c r="E90" s="804"/>
      <c r="F90" s="978" t="s">
        <v>659</v>
      </c>
      <c r="G90" s="978"/>
    </row>
    <row r="91" spans="2:7" s="398" customFormat="1" ht="38.25" customHeight="1" thickBot="1" x14ac:dyDescent="0.3">
      <c r="B91" s="985" t="s">
        <v>1206</v>
      </c>
      <c r="C91" s="985"/>
      <c r="D91" s="804">
        <v>1</v>
      </c>
      <c r="E91" s="804"/>
      <c r="F91" s="978" t="s">
        <v>659</v>
      </c>
      <c r="G91" s="978"/>
    </row>
    <row r="92" spans="2:7" s="398" customFormat="1" ht="15.75" thickBot="1" x14ac:dyDescent="0.3">
      <c r="B92" s="985" t="s">
        <v>1138</v>
      </c>
      <c r="C92" s="985"/>
      <c r="D92" s="804">
        <v>2</v>
      </c>
      <c r="E92" s="804"/>
      <c r="F92" s="978" t="s">
        <v>659</v>
      </c>
      <c r="G92" s="978"/>
    </row>
    <row r="93" spans="2:7" s="398" customFormat="1" ht="15.75" thickBot="1" x14ac:dyDescent="0.3">
      <c r="B93" s="985" t="s">
        <v>1139</v>
      </c>
      <c r="C93" s="985"/>
      <c r="D93" s="804">
        <v>2</v>
      </c>
      <c r="E93" s="804"/>
      <c r="F93" s="978" t="s">
        <v>659</v>
      </c>
      <c r="G93" s="978"/>
    </row>
    <row r="94" spans="2:7" s="398" customFormat="1" ht="35.25" customHeight="1" thickBot="1" x14ac:dyDescent="0.3">
      <c r="B94" s="985" t="s">
        <v>1207</v>
      </c>
      <c r="C94" s="985"/>
      <c r="D94" s="804">
        <v>1</v>
      </c>
      <c r="E94" s="804"/>
      <c r="F94" s="978" t="s">
        <v>659</v>
      </c>
      <c r="G94" s="978"/>
    </row>
    <row r="95" spans="2:7" s="398" customFormat="1" ht="37.5" customHeight="1" thickBot="1" x14ac:dyDescent="0.3">
      <c r="B95" s="985" t="s">
        <v>1208</v>
      </c>
      <c r="C95" s="985"/>
      <c r="D95" s="804">
        <v>1</v>
      </c>
      <c r="E95" s="804"/>
      <c r="F95" s="978" t="s">
        <v>659</v>
      </c>
      <c r="G95" s="978"/>
    </row>
    <row r="96" spans="2:7" s="398" customFormat="1" ht="19.5" customHeight="1" thickBot="1" x14ac:dyDescent="0.3">
      <c r="B96" s="985" t="s">
        <v>1209</v>
      </c>
      <c r="C96" s="985"/>
      <c r="D96" s="804">
        <v>1</v>
      </c>
      <c r="E96" s="804"/>
      <c r="F96" s="978" t="s">
        <v>1140</v>
      </c>
      <c r="G96" s="978"/>
    </row>
    <row r="97" spans="2:7" s="398" customFormat="1" ht="25.5" customHeight="1" thickBot="1" x14ac:dyDescent="0.3">
      <c r="B97" s="985" t="s">
        <v>1210</v>
      </c>
      <c r="C97" s="985"/>
      <c r="D97" s="804">
        <v>1</v>
      </c>
      <c r="E97" s="804"/>
      <c r="F97" s="978" t="s">
        <v>1140</v>
      </c>
      <c r="G97" s="978"/>
    </row>
    <row r="98" spans="2:7" s="398" customFormat="1" ht="35.25" customHeight="1" thickBot="1" x14ac:dyDescent="0.3">
      <c r="B98" s="985" t="s">
        <v>1211</v>
      </c>
      <c r="C98" s="985"/>
      <c r="D98" s="804">
        <v>1</v>
      </c>
      <c r="E98" s="804"/>
      <c r="F98" s="978" t="s">
        <v>1140</v>
      </c>
      <c r="G98" s="978"/>
    </row>
    <row r="99" spans="2:7" s="398" customFormat="1" ht="48" customHeight="1" thickBot="1" x14ac:dyDescent="0.3">
      <c r="B99" s="985" t="s">
        <v>1212</v>
      </c>
      <c r="C99" s="985"/>
      <c r="D99" s="804">
        <v>1</v>
      </c>
      <c r="E99" s="804"/>
      <c r="F99" s="978" t="s">
        <v>1140</v>
      </c>
      <c r="G99" s="978"/>
    </row>
    <row r="100" spans="2:7" s="398" customFormat="1" ht="27" customHeight="1" thickBot="1" x14ac:dyDescent="0.3">
      <c r="B100" s="985" t="s">
        <v>1196</v>
      </c>
      <c r="C100" s="985"/>
      <c r="D100" s="804">
        <v>1</v>
      </c>
      <c r="E100" s="804"/>
      <c r="F100" s="978" t="s">
        <v>1140</v>
      </c>
      <c r="G100" s="978"/>
    </row>
    <row r="101" spans="2:7" s="398" customFormat="1" ht="39.75" customHeight="1" thickBot="1" x14ac:dyDescent="0.3">
      <c r="B101" s="982" t="s">
        <v>1213</v>
      </c>
      <c r="C101" s="982"/>
      <c r="D101" s="804">
        <v>1</v>
      </c>
      <c r="E101" s="804"/>
      <c r="F101" s="978" t="s">
        <v>1140</v>
      </c>
      <c r="G101" s="978"/>
    </row>
    <row r="102" spans="2:7" s="398" customFormat="1" ht="28.5" customHeight="1" thickBot="1" x14ac:dyDescent="0.3">
      <c r="B102" s="985" t="s">
        <v>1197</v>
      </c>
      <c r="C102" s="985"/>
      <c r="D102" s="804">
        <v>1</v>
      </c>
      <c r="E102" s="804"/>
      <c r="F102" s="978" t="s">
        <v>1140</v>
      </c>
      <c r="G102" s="978"/>
    </row>
    <row r="103" spans="2:7" s="398" customFormat="1" ht="40.5" customHeight="1" thickBot="1" x14ac:dyDescent="0.3">
      <c r="B103" s="985" t="s">
        <v>1214</v>
      </c>
      <c r="C103" s="985"/>
      <c r="D103" s="804">
        <v>1</v>
      </c>
      <c r="E103" s="804"/>
      <c r="F103" s="978" t="s">
        <v>1140</v>
      </c>
      <c r="G103" s="978"/>
    </row>
    <row r="104" spans="2:7" s="398" customFormat="1" ht="39" customHeight="1" thickBot="1" x14ac:dyDescent="0.3">
      <c r="B104" s="985" t="s">
        <v>1215</v>
      </c>
      <c r="C104" s="985"/>
      <c r="D104" s="804">
        <v>1</v>
      </c>
      <c r="E104" s="804"/>
      <c r="F104" s="978" t="s">
        <v>1140</v>
      </c>
      <c r="G104" s="978"/>
    </row>
    <row r="105" spans="2:7" s="398" customFormat="1" ht="39.75" customHeight="1" thickBot="1" x14ac:dyDescent="0.3">
      <c r="B105" s="985" t="s">
        <v>1216</v>
      </c>
      <c r="C105" s="985"/>
      <c r="D105" s="804">
        <v>1</v>
      </c>
      <c r="E105" s="804"/>
      <c r="F105" s="978" t="s">
        <v>1140</v>
      </c>
      <c r="G105" s="978"/>
    </row>
    <row r="106" spans="2:7" s="398" customFormat="1" ht="36.75" customHeight="1" thickBot="1" x14ac:dyDescent="0.3">
      <c r="B106" s="985" t="s">
        <v>1217</v>
      </c>
      <c r="C106" s="985"/>
      <c r="D106" s="804">
        <v>1</v>
      </c>
      <c r="E106" s="804"/>
      <c r="F106" s="978" t="s">
        <v>1140</v>
      </c>
      <c r="G106" s="978"/>
    </row>
    <row r="107" spans="2:7" s="398" customFormat="1" ht="30.75" customHeight="1" thickBot="1" x14ac:dyDescent="0.3">
      <c r="B107" s="985" t="s">
        <v>1218</v>
      </c>
      <c r="C107" s="985"/>
      <c r="D107" s="804">
        <v>1</v>
      </c>
      <c r="E107" s="804"/>
      <c r="F107" s="978" t="s">
        <v>1140</v>
      </c>
      <c r="G107" s="978"/>
    </row>
    <row r="108" spans="2:7" s="398" customFormat="1" ht="30" customHeight="1" thickBot="1" x14ac:dyDescent="0.3">
      <c r="B108" s="985" t="s">
        <v>1219</v>
      </c>
      <c r="C108" s="985"/>
      <c r="D108" s="804">
        <v>1</v>
      </c>
      <c r="E108" s="804"/>
      <c r="F108" s="978" t="s">
        <v>1140</v>
      </c>
      <c r="G108" s="978"/>
    </row>
    <row r="109" spans="2:7" s="398" customFormat="1" ht="37.5" customHeight="1" thickBot="1" x14ac:dyDescent="0.3">
      <c r="B109" s="985" t="s">
        <v>1220</v>
      </c>
      <c r="C109" s="985"/>
      <c r="D109" s="804">
        <v>1</v>
      </c>
      <c r="E109" s="804"/>
      <c r="F109" s="978" t="s">
        <v>1140</v>
      </c>
      <c r="G109" s="978"/>
    </row>
    <row r="110" spans="2:7" s="398" customFormat="1" ht="25.5" customHeight="1" thickBot="1" x14ac:dyDescent="0.3">
      <c r="B110" s="985" t="s">
        <v>1221</v>
      </c>
      <c r="C110" s="985"/>
      <c r="D110" s="804">
        <v>1</v>
      </c>
      <c r="E110" s="804"/>
      <c r="F110" s="978" t="s">
        <v>1140</v>
      </c>
      <c r="G110" s="978"/>
    </row>
    <row r="111" spans="2:7" s="398" customFormat="1" ht="30.75" customHeight="1" thickBot="1" x14ac:dyDescent="0.3">
      <c r="B111" s="985" t="s">
        <v>1222</v>
      </c>
      <c r="C111" s="985"/>
      <c r="D111" s="804">
        <v>1</v>
      </c>
      <c r="E111" s="804"/>
      <c r="F111" s="978" t="s">
        <v>1140</v>
      </c>
      <c r="G111" s="978"/>
    </row>
    <row r="112" spans="2:7" s="398" customFormat="1" ht="15.75" customHeight="1" thickBot="1" x14ac:dyDescent="0.3">
      <c r="B112" s="984" t="s">
        <v>1223</v>
      </c>
      <c r="C112" s="984"/>
      <c r="D112" s="804">
        <v>2</v>
      </c>
      <c r="E112" s="804"/>
      <c r="F112" s="978" t="s">
        <v>1140</v>
      </c>
      <c r="G112" s="978"/>
    </row>
    <row r="113" spans="2:7" s="398" customFormat="1" ht="15.75" thickBot="1" x14ac:dyDescent="0.3">
      <c r="B113" s="985"/>
      <c r="C113" s="985"/>
      <c r="D113" s="804">
        <v>1</v>
      </c>
      <c r="E113" s="804"/>
      <c r="F113" s="978" t="s">
        <v>1140</v>
      </c>
      <c r="G113" s="978"/>
    </row>
    <row r="114" spans="2:7" s="398" customFormat="1" ht="27.75" customHeight="1" thickBot="1" x14ac:dyDescent="0.3">
      <c r="B114" s="985" t="s">
        <v>1224</v>
      </c>
      <c r="C114" s="985"/>
      <c r="D114" s="804">
        <v>1</v>
      </c>
      <c r="E114" s="804"/>
      <c r="F114" s="978" t="s">
        <v>1140</v>
      </c>
      <c r="G114" s="978"/>
    </row>
    <row r="115" spans="2:7" s="398" customFormat="1" ht="28.5" customHeight="1" thickBot="1" x14ac:dyDescent="0.3">
      <c r="B115" s="985" t="s">
        <v>1225</v>
      </c>
      <c r="C115" s="985"/>
      <c r="D115" s="804">
        <v>2</v>
      </c>
      <c r="E115" s="804"/>
      <c r="F115" s="978" t="s">
        <v>1140</v>
      </c>
      <c r="G115" s="978"/>
    </row>
    <row r="116" spans="2:7" s="398" customFormat="1" ht="30" customHeight="1" thickBot="1" x14ac:dyDescent="0.3">
      <c r="B116" s="985" t="s">
        <v>1226</v>
      </c>
      <c r="C116" s="985"/>
      <c r="D116" s="804">
        <v>1</v>
      </c>
      <c r="E116" s="804"/>
      <c r="F116" s="978" t="s">
        <v>1140</v>
      </c>
      <c r="G116" s="978"/>
    </row>
    <row r="117" spans="2:7" s="398" customFormat="1" ht="37.5" customHeight="1" thickBot="1" x14ac:dyDescent="0.3">
      <c r="B117" s="985" t="s">
        <v>1227</v>
      </c>
      <c r="C117" s="985"/>
      <c r="D117" s="804">
        <v>1</v>
      </c>
      <c r="E117" s="804"/>
      <c r="F117" s="978" t="s">
        <v>1140</v>
      </c>
      <c r="G117" s="978"/>
    </row>
    <row r="118" spans="2:7" s="398" customFormat="1" ht="38.25" customHeight="1" thickBot="1" x14ac:dyDescent="0.3">
      <c r="B118" s="985" t="s">
        <v>1228</v>
      </c>
      <c r="C118" s="985"/>
      <c r="D118" s="804">
        <v>3</v>
      </c>
      <c r="E118" s="804"/>
      <c r="F118" s="978" t="s">
        <v>1140</v>
      </c>
      <c r="G118" s="978"/>
    </row>
    <row r="119" spans="2:7" s="398" customFormat="1" ht="15.75" thickBot="1" x14ac:dyDescent="0.3">
      <c r="B119" s="984" t="s">
        <v>1229</v>
      </c>
      <c r="C119" s="984"/>
      <c r="D119" s="804">
        <v>1</v>
      </c>
      <c r="E119" s="804"/>
      <c r="F119" s="978" t="s">
        <v>1140</v>
      </c>
      <c r="G119" s="978"/>
    </row>
    <row r="120" spans="2:7" s="398" customFormat="1" ht="15.75" thickBot="1" x14ac:dyDescent="0.3">
      <c r="B120" s="985"/>
      <c r="C120" s="985"/>
      <c r="D120" s="804">
        <v>1</v>
      </c>
      <c r="E120" s="804"/>
      <c r="F120" s="978" t="s">
        <v>1140</v>
      </c>
      <c r="G120" s="978"/>
    </row>
    <row r="121" spans="2:7" s="398" customFormat="1" ht="37.5" customHeight="1" thickBot="1" x14ac:dyDescent="0.3">
      <c r="B121" s="985" t="s">
        <v>1230</v>
      </c>
      <c r="C121" s="985"/>
      <c r="D121" s="804">
        <v>1</v>
      </c>
      <c r="E121" s="804"/>
      <c r="F121" s="978" t="s">
        <v>1140</v>
      </c>
      <c r="G121" s="978"/>
    </row>
    <row r="122" spans="2:7" s="398" customFormat="1" ht="27.75" customHeight="1" thickBot="1" x14ac:dyDescent="0.3">
      <c r="B122" s="985" t="s">
        <v>1231</v>
      </c>
      <c r="C122" s="985"/>
      <c r="D122" s="804">
        <v>1</v>
      </c>
      <c r="E122" s="804"/>
      <c r="F122" s="978" t="s">
        <v>1140</v>
      </c>
      <c r="G122" s="978"/>
    </row>
    <row r="123" spans="2:7" s="398" customFormat="1" ht="25.5" customHeight="1" thickBot="1" x14ac:dyDescent="0.3">
      <c r="B123" s="985" t="s">
        <v>1232</v>
      </c>
      <c r="C123" s="985"/>
      <c r="D123" s="804">
        <v>1</v>
      </c>
      <c r="E123" s="804"/>
      <c r="F123" s="978" t="s">
        <v>1140</v>
      </c>
      <c r="G123" s="978"/>
    </row>
    <row r="124" spans="2:7" s="398" customFormat="1" ht="25.5" customHeight="1" thickBot="1" x14ac:dyDescent="0.3">
      <c r="B124" s="985" t="s">
        <v>1233</v>
      </c>
      <c r="C124" s="985"/>
      <c r="D124" s="804">
        <v>2</v>
      </c>
      <c r="E124" s="804"/>
      <c r="F124" s="978" t="s">
        <v>1140</v>
      </c>
      <c r="G124" s="978"/>
    </row>
    <row r="125" spans="2:7" s="398" customFormat="1" ht="15.75" thickBot="1" x14ac:dyDescent="0.3">
      <c r="B125" s="985" t="s">
        <v>1234</v>
      </c>
      <c r="C125" s="985"/>
      <c r="D125" s="804">
        <v>1</v>
      </c>
      <c r="E125" s="804"/>
      <c r="F125" s="978" t="s">
        <v>1140</v>
      </c>
      <c r="G125" s="978"/>
    </row>
    <row r="126" spans="2:7" s="398" customFormat="1" ht="28.5" customHeight="1" thickBot="1" x14ac:dyDescent="0.3">
      <c r="B126" s="985" t="s">
        <v>1235</v>
      </c>
      <c r="C126" s="985"/>
      <c r="D126" s="804">
        <v>1</v>
      </c>
      <c r="E126" s="804"/>
      <c r="F126" s="978" t="s">
        <v>1140</v>
      </c>
      <c r="G126" s="978"/>
    </row>
    <row r="127" spans="2:7" s="398" customFormat="1" ht="31.5" customHeight="1" thickBot="1" x14ac:dyDescent="0.3">
      <c r="B127" s="985" t="s">
        <v>1236</v>
      </c>
      <c r="C127" s="985"/>
      <c r="D127" s="804">
        <v>2</v>
      </c>
      <c r="E127" s="804"/>
      <c r="F127" s="978" t="s">
        <v>1140</v>
      </c>
      <c r="G127" s="978"/>
    </row>
    <row r="128" spans="2:7" s="398" customFormat="1" ht="46.5" customHeight="1" thickBot="1" x14ac:dyDescent="0.3">
      <c r="B128" s="985" t="s">
        <v>1237</v>
      </c>
      <c r="C128" s="985"/>
      <c r="D128" s="804">
        <v>1</v>
      </c>
      <c r="E128" s="804"/>
      <c r="F128" s="978" t="s">
        <v>1140</v>
      </c>
      <c r="G128" s="978"/>
    </row>
    <row r="129" spans="2:7" s="398" customFormat="1" ht="37.5" customHeight="1" thickBot="1" x14ac:dyDescent="0.3">
      <c r="B129" s="985" t="s">
        <v>1238</v>
      </c>
      <c r="C129" s="985"/>
      <c r="D129" s="804">
        <v>1</v>
      </c>
      <c r="E129" s="804"/>
      <c r="F129" s="978" t="s">
        <v>1140</v>
      </c>
      <c r="G129" s="978"/>
    </row>
    <row r="130" spans="2:7" s="398" customFormat="1" ht="30.75" customHeight="1" thickBot="1" x14ac:dyDescent="0.3">
      <c r="B130" s="985" t="s">
        <v>1239</v>
      </c>
      <c r="C130" s="985"/>
      <c r="D130" s="804">
        <v>1</v>
      </c>
      <c r="E130" s="804"/>
      <c r="F130" s="978" t="s">
        <v>1140</v>
      </c>
      <c r="G130" s="978"/>
    </row>
    <row r="131" spans="2:7" s="398" customFormat="1" ht="27" customHeight="1" thickBot="1" x14ac:dyDescent="0.3">
      <c r="B131" s="985" t="s">
        <v>1240</v>
      </c>
      <c r="C131" s="985"/>
      <c r="D131" s="804">
        <v>1</v>
      </c>
      <c r="E131" s="804"/>
      <c r="F131" s="978" t="s">
        <v>1140</v>
      </c>
      <c r="G131" s="978"/>
    </row>
    <row r="132" spans="2:7" s="398" customFormat="1" ht="15.75" thickBot="1" x14ac:dyDescent="0.3">
      <c r="B132" s="985" t="s">
        <v>1141</v>
      </c>
      <c r="C132" s="985"/>
      <c r="D132" s="804">
        <v>1</v>
      </c>
      <c r="E132" s="804"/>
      <c r="F132" s="978" t="s">
        <v>1140</v>
      </c>
      <c r="G132" s="978"/>
    </row>
    <row r="133" spans="2:7" s="398" customFormat="1" ht="28.5" customHeight="1" thickBot="1" x14ac:dyDescent="0.3">
      <c r="B133" s="985" t="s">
        <v>1241</v>
      </c>
      <c r="C133" s="985"/>
      <c r="D133" s="804">
        <v>1</v>
      </c>
      <c r="E133" s="804"/>
      <c r="F133" s="978" t="s">
        <v>1140</v>
      </c>
      <c r="G133" s="978"/>
    </row>
    <row r="134" spans="2:7" s="398" customFormat="1" ht="26.25" customHeight="1" thickBot="1" x14ac:dyDescent="0.3">
      <c r="B134" s="985" t="s">
        <v>1242</v>
      </c>
      <c r="C134" s="985"/>
      <c r="D134" s="804">
        <v>1</v>
      </c>
      <c r="E134" s="804"/>
      <c r="F134" s="978" t="s">
        <v>1140</v>
      </c>
      <c r="G134" s="978"/>
    </row>
    <row r="135" spans="2:7" s="398" customFormat="1" ht="27" customHeight="1" thickBot="1" x14ac:dyDescent="0.3">
      <c r="B135" s="985" t="s">
        <v>1243</v>
      </c>
      <c r="C135" s="985"/>
      <c r="D135" s="804">
        <v>1</v>
      </c>
      <c r="E135" s="804"/>
      <c r="F135" s="978" t="s">
        <v>1140</v>
      </c>
      <c r="G135" s="978"/>
    </row>
    <row r="136" spans="2:7" s="398" customFormat="1" ht="29.25" customHeight="1" thickBot="1" x14ac:dyDescent="0.3">
      <c r="B136" s="985" t="s">
        <v>1244</v>
      </c>
      <c r="C136" s="985"/>
      <c r="D136" s="804">
        <v>1</v>
      </c>
      <c r="E136" s="804"/>
      <c r="F136" s="978" t="s">
        <v>1140</v>
      </c>
      <c r="G136" s="978"/>
    </row>
    <row r="137" spans="2:7" s="398" customFormat="1" ht="29.25" customHeight="1" thickBot="1" x14ac:dyDescent="0.3">
      <c r="B137" s="985" t="s">
        <v>1245</v>
      </c>
      <c r="C137" s="985"/>
      <c r="D137" s="804">
        <v>1</v>
      </c>
      <c r="E137" s="804"/>
      <c r="F137" s="978" t="s">
        <v>1140</v>
      </c>
      <c r="G137" s="978"/>
    </row>
    <row r="138" spans="2:7" s="398" customFormat="1" ht="15.75" thickBot="1" x14ac:dyDescent="0.3">
      <c r="B138" s="985" t="s">
        <v>1142</v>
      </c>
      <c r="C138" s="985"/>
      <c r="D138" s="804">
        <v>1</v>
      </c>
      <c r="E138" s="804"/>
      <c r="F138" s="978" t="s">
        <v>1140</v>
      </c>
      <c r="G138" s="978"/>
    </row>
    <row r="139" spans="2:7" s="398" customFormat="1" ht="30.75" customHeight="1" thickBot="1" x14ac:dyDescent="0.3">
      <c r="B139" s="985" t="s">
        <v>1246</v>
      </c>
      <c r="C139" s="985"/>
      <c r="D139" s="804">
        <v>1</v>
      </c>
      <c r="E139" s="804"/>
      <c r="F139" s="978" t="s">
        <v>1140</v>
      </c>
      <c r="G139" s="978"/>
    </row>
    <row r="140" spans="2:7" s="398" customFormat="1" ht="40.5" customHeight="1" thickBot="1" x14ac:dyDescent="0.3">
      <c r="B140" s="985" t="s">
        <v>1247</v>
      </c>
      <c r="C140" s="985"/>
      <c r="D140" s="804">
        <v>2</v>
      </c>
      <c r="E140" s="804"/>
      <c r="F140" s="978" t="s">
        <v>1140</v>
      </c>
      <c r="G140" s="978"/>
    </row>
    <row r="141" spans="2:7" s="398" customFormat="1" ht="36.75" customHeight="1" thickBot="1" x14ac:dyDescent="0.3">
      <c r="B141" s="985" t="s">
        <v>1248</v>
      </c>
      <c r="C141" s="985"/>
      <c r="D141" s="804">
        <v>1</v>
      </c>
      <c r="E141" s="804"/>
      <c r="F141" s="978" t="s">
        <v>1140</v>
      </c>
      <c r="G141" s="978"/>
    </row>
    <row r="142" spans="2:7" s="398" customFormat="1" ht="27.75" customHeight="1" thickBot="1" x14ac:dyDescent="0.3">
      <c r="B142" s="985" t="s">
        <v>1249</v>
      </c>
      <c r="C142" s="985"/>
      <c r="D142" s="804">
        <v>1</v>
      </c>
      <c r="E142" s="804"/>
      <c r="F142" s="978" t="s">
        <v>1140</v>
      </c>
      <c r="G142" s="978"/>
    </row>
    <row r="143" spans="2:7" s="398" customFormat="1" ht="27" customHeight="1" thickBot="1" x14ac:dyDescent="0.3">
      <c r="B143" s="985" t="s">
        <v>1143</v>
      </c>
      <c r="C143" s="985"/>
      <c r="D143" s="804">
        <v>12</v>
      </c>
      <c r="E143" s="804"/>
      <c r="F143" s="978" t="s">
        <v>1140</v>
      </c>
      <c r="G143" s="978"/>
    </row>
    <row r="144" spans="2:7" s="398" customFormat="1" ht="24.75" customHeight="1" thickBot="1" x14ac:dyDescent="0.3">
      <c r="B144" s="985" t="s">
        <v>1144</v>
      </c>
      <c r="C144" s="985"/>
      <c r="D144" s="804">
        <v>4</v>
      </c>
      <c r="E144" s="804"/>
      <c r="F144" s="978" t="s">
        <v>1140</v>
      </c>
      <c r="G144" s="978"/>
    </row>
    <row r="145" spans="2:18" s="398" customFormat="1" ht="19.5" customHeight="1" thickBot="1" x14ac:dyDescent="0.3">
      <c r="B145" s="985" t="s">
        <v>1145</v>
      </c>
      <c r="C145" s="985"/>
      <c r="D145" s="804">
        <v>9</v>
      </c>
      <c r="E145" s="804"/>
      <c r="F145" s="978" t="s">
        <v>1140</v>
      </c>
      <c r="G145" s="978"/>
    </row>
    <row r="146" spans="2:18" s="398" customFormat="1" ht="21.75" customHeight="1" thickBot="1" x14ac:dyDescent="0.3">
      <c r="B146" s="985" t="s">
        <v>1146</v>
      </c>
      <c r="C146" s="985"/>
      <c r="D146" s="804">
        <v>4</v>
      </c>
      <c r="E146" s="804"/>
      <c r="F146" s="978" t="s">
        <v>1140</v>
      </c>
      <c r="G146" s="978"/>
    </row>
    <row r="147" spans="2:18" s="398" customFormat="1" ht="12.75" customHeight="1" x14ac:dyDescent="0.25">
      <c r="B147" s="984" t="s">
        <v>1147</v>
      </c>
      <c r="C147" s="984"/>
      <c r="D147" s="803">
        <v>23</v>
      </c>
      <c r="E147" s="803"/>
      <c r="F147" s="979" t="s">
        <v>1140</v>
      </c>
      <c r="G147" s="979"/>
    </row>
    <row r="148" spans="2:18" s="398" customFormat="1" ht="15.75" thickBot="1" x14ac:dyDescent="0.3">
      <c r="B148" s="986" t="s">
        <v>90</v>
      </c>
      <c r="C148" s="986"/>
      <c r="D148" s="986">
        <f>SUM(D31:D147)</f>
        <v>332</v>
      </c>
      <c r="E148" s="986"/>
      <c r="F148" s="986"/>
      <c r="G148" s="986"/>
    </row>
    <row r="149" spans="2:18" s="398" customFormat="1" x14ac:dyDescent="0.25">
      <c r="B149" s="983" t="s">
        <v>832</v>
      </c>
      <c r="C149" s="983"/>
      <c r="Q149" s="68"/>
      <c r="R149" s="68"/>
    </row>
    <row r="150" spans="2:18" s="398" customFormat="1" x14ac:dyDescent="0.25">
      <c r="B150" s="37" t="s">
        <v>80</v>
      </c>
      <c r="Q150" s="68"/>
      <c r="R150" s="68"/>
    </row>
    <row r="151" spans="2:18" s="398" customFormat="1" x14ac:dyDescent="0.25">
      <c r="B151" s="37"/>
      <c r="Q151" s="68"/>
      <c r="R151" s="68"/>
    </row>
    <row r="152" spans="2:18" s="398" customFormat="1" x14ac:dyDescent="0.25">
      <c r="B152" s="70"/>
      <c r="C152" s="70"/>
      <c r="D152" s="70"/>
      <c r="E152" s="70"/>
    </row>
    <row r="153" spans="2:18" s="398" customFormat="1" x14ac:dyDescent="0.25">
      <c r="B153" s="6" t="s">
        <v>1250</v>
      </c>
    </row>
    <row r="154" spans="2:18" s="398" customFormat="1" ht="15" customHeight="1" x14ac:dyDescent="0.25">
      <c r="B154" s="544"/>
      <c r="D154" s="893" t="s">
        <v>671</v>
      </c>
      <c r="E154" s="893"/>
      <c r="F154" s="893"/>
      <c r="G154" s="893"/>
    </row>
    <row r="155" spans="2:18" s="398" customFormat="1" ht="32.25" customHeight="1" x14ac:dyDescent="0.25">
      <c r="B155" s="893" t="s">
        <v>1352</v>
      </c>
      <c r="C155" s="893"/>
      <c r="D155" s="893" t="s">
        <v>12</v>
      </c>
      <c r="E155" s="893" t="s">
        <v>785</v>
      </c>
      <c r="F155" s="893" t="s">
        <v>784</v>
      </c>
      <c r="G155" s="893"/>
    </row>
    <row r="156" spans="2:18" s="398" customFormat="1" ht="30.75" customHeight="1" thickBot="1" x14ac:dyDescent="0.3">
      <c r="B156" s="894" t="s">
        <v>672</v>
      </c>
      <c r="C156" s="894"/>
      <c r="D156" s="895">
        <v>6.4</v>
      </c>
      <c r="E156" s="895">
        <v>5.86</v>
      </c>
      <c r="F156" s="895">
        <v>4.1428571428571432</v>
      </c>
      <c r="G156" s="895"/>
    </row>
    <row r="157" spans="2:18" s="398" customFormat="1" ht="45.75" customHeight="1" thickBot="1" x14ac:dyDescent="0.3">
      <c r="B157" s="894" t="s">
        <v>673</v>
      </c>
      <c r="C157" s="894"/>
      <c r="D157" s="895">
        <v>6</v>
      </c>
      <c r="E157" s="895">
        <v>4.71</v>
      </c>
      <c r="F157" s="895">
        <v>5.1428571428571432</v>
      </c>
      <c r="G157" s="895"/>
    </row>
    <row r="158" spans="2:18" s="398" customFormat="1" ht="47.25" customHeight="1" thickBot="1" x14ac:dyDescent="0.3">
      <c r="B158" s="894" t="s">
        <v>674</v>
      </c>
      <c r="C158" s="894"/>
      <c r="D158" s="895">
        <v>5</v>
      </c>
      <c r="E158" s="895">
        <v>5.71</v>
      </c>
      <c r="F158" s="895">
        <v>5</v>
      </c>
      <c r="G158" s="895"/>
    </row>
    <row r="159" spans="2:18" s="398" customFormat="1" ht="35.25" customHeight="1" thickBot="1" x14ac:dyDescent="0.3">
      <c r="B159" s="894" t="s">
        <v>675</v>
      </c>
      <c r="C159" s="894"/>
      <c r="D159" s="895">
        <v>6</v>
      </c>
      <c r="E159" s="895">
        <v>6</v>
      </c>
      <c r="F159" s="895">
        <v>5.2857142857142856</v>
      </c>
      <c r="G159" s="895"/>
    </row>
    <row r="160" spans="2:18" s="398" customFormat="1" ht="48.75" customHeight="1" thickBot="1" x14ac:dyDescent="0.3">
      <c r="B160" s="894" t="s">
        <v>676</v>
      </c>
      <c r="C160" s="894"/>
      <c r="D160" s="895">
        <v>6.2</v>
      </c>
      <c r="E160" s="895">
        <v>5.14</v>
      </c>
      <c r="F160" s="895">
        <v>6</v>
      </c>
      <c r="G160" s="895"/>
    </row>
    <row r="161" spans="2:7" s="398" customFormat="1" ht="36.75" customHeight="1" thickBot="1" x14ac:dyDescent="0.3">
      <c r="B161" s="894" t="s">
        <v>677</v>
      </c>
      <c r="C161" s="894"/>
      <c r="D161" s="895">
        <v>6.2</v>
      </c>
      <c r="E161" s="895">
        <v>5.43</v>
      </c>
      <c r="F161" s="895">
        <v>6.5714285714285712</v>
      </c>
      <c r="G161" s="895"/>
    </row>
    <row r="162" spans="2:7" s="398" customFormat="1" ht="39.75" customHeight="1" thickBot="1" x14ac:dyDescent="0.3">
      <c r="B162" s="894" t="s">
        <v>678</v>
      </c>
      <c r="C162" s="894"/>
      <c r="D162" s="895">
        <v>5.6</v>
      </c>
      <c r="E162" s="895">
        <v>5</v>
      </c>
      <c r="F162" s="895">
        <v>4.5714285714285712</v>
      </c>
      <c r="G162" s="895"/>
    </row>
    <row r="163" spans="2:7" s="398" customFormat="1" ht="34.5" customHeight="1" thickBot="1" x14ac:dyDescent="0.3">
      <c r="B163" s="894" t="s">
        <v>679</v>
      </c>
      <c r="C163" s="894"/>
      <c r="D163" s="895">
        <v>5.8</v>
      </c>
      <c r="E163" s="895">
        <v>5.43</v>
      </c>
      <c r="F163" s="895">
        <v>6</v>
      </c>
      <c r="G163" s="895"/>
    </row>
    <row r="164" spans="2:7" s="398" customFormat="1" ht="44.25" customHeight="1" thickBot="1" x14ac:dyDescent="0.3">
      <c r="B164" s="894" t="s">
        <v>680</v>
      </c>
      <c r="C164" s="894"/>
      <c r="D164" s="895">
        <v>5.8</v>
      </c>
      <c r="E164" s="895">
        <v>5.86</v>
      </c>
      <c r="F164" s="895">
        <v>6.7142857142857144</v>
      </c>
      <c r="G164" s="895"/>
    </row>
    <row r="165" spans="2:7" s="398" customFormat="1" ht="47.25" customHeight="1" thickBot="1" x14ac:dyDescent="0.3">
      <c r="B165" s="894" t="s">
        <v>681</v>
      </c>
      <c r="C165" s="894"/>
      <c r="D165" s="895">
        <v>5.6</v>
      </c>
      <c r="E165" s="895">
        <v>5.86</v>
      </c>
      <c r="F165" s="895">
        <v>6.5714285714285712</v>
      </c>
      <c r="G165" s="895"/>
    </row>
    <row r="166" spans="2:7" s="398" customFormat="1" ht="36" customHeight="1" thickBot="1" x14ac:dyDescent="0.3">
      <c r="B166" s="894" t="s">
        <v>682</v>
      </c>
      <c r="C166" s="894"/>
      <c r="D166" s="895">
        <v>5.8</v>
      </c>
      <c r="E166" s="895">
        <v>5</v>
      </c>
      <c r="F166" s="895">
        <v>5.7142857142857144</v>
      </c>
      <c r="G166" s="895"/>
    </row>
    <row r="167" spans="2:7" s="398" customFormat="1" ht="45" customHeight="1" thickBot="1" x14ac:dyDescent="0.3">
      <c r="B167" s="894" t="s">
        <v>683</v>
      </c>
      <c r="C167" s="894"/>
      <c r="D167" s="895">
        <v>6.2</v>
      </c>
      <c r="E167" s="895">
        <v>5.71</v>
      </c>
      <c r="F167" s="895">
        <v>5.8571428571428568</v>
      </c>
      <c r="G167" s="895"/>
    </row>
    <row r="168" spans="2:7" s="398" customFormat="1" x14ac:dyDescent="0.25">
      <c r="B168" s="977" t="s">
        <v>832</v>
      </c>
      <c r="C168" s="977"/>
    </row>
    <row r="169" spans="2:7" s="398" customFormat="1" x14ac:dyDescent="0.25">
      <c r="B169" s="46" t="s">
        <v>1081</v>
      </c>
      <c r="F169" s="51"/>
    </row>
    <row r="170" spans="2:7" s="398" customFormat="1" x14ac:dyDescent="0.25">
      <c r="B170" s="46"/>
      <c r="F170" s="51"/>
    </row>
    <row r="171" spans="2:7" s="398" customFormat="1" x14ac:dyDescent="0.25"/>
    <row r="172" spans="2:7" s="398" customFormat="1" x14ac:dyDescent="0.25">
      <c r="B172" s="6" t="s">
        <v>1251</v>
      </c>
    </row>
    <row r="173" spans="2:7" s="398" customFormat="1" ht="15" customHeight="1" x14ac:dyDescent="0.25">
      <c r="B173" s="544"/>
      <c r="D173" s="941" t="s">
        <v>671</v>
      </c>
      <c r="E173" s="941"/>
      <c r="F173" s="941"/>
      <c r="G173" s="941"/>
    </row>
    <row r="174" spans="2:7" s="398" customFormat="1" ht="31.5" customHeight="1" x14ac:dyDescent="0.25">
      <c r="B174" s="893" t="s">
        <v>1343</v>
      </c>
      <c r="C174" s="893"/>
      <c r="D174" s="893" t="s">
        <v>12</v>
      </c>
      <c r="E174" s="893" t="s">
        <v>684</v>
      </c>
      <c r="F174" s="941" t="s">
        <v>784</v>
      </c>
      <c r="G174" s="941"/>
    </row>
    <row r="175" spans="2:7" s="398" customFormat="1" ht="24" customHeight="1" thickBot="1" x14ac:dyDescent="0.3">
      <c r="B175" s="894" t="s">
        <v>685</v>
      </c>
      <c r="C175" s="894"/>
      <c r="D175" s="895">
        <v>6.43</v>
      </c>
      <c r="E175" s="895">
        <v>5.9</v>
      </c>
      <c r="F175" s="895">
        <v>5.625</v>
      </c>
      <c r="G175" s="895"/>
    </row>
    <row r="176" spans="2:7" s="398" customFormat="1" ht="55.5" customHeight="1" thickBot="1" x14ac:dyDescent="0.3">
      <c r="B176" s="894" t="s">
        <v>686</v>
      </c>
      <c r="C176" s="894"/>
      <c r="D176" s="895">
        <v>5.71</v>
      </c>
      <c r="E176" s="895">
        <v>6</v>
      </c>
      <c r="F176" s="895">
        <v>3.75</v>
      </c>
      <c r="G176" s="895"/>
    </row>
    <row r="177" spans="2:9" s="398" customFormat="1" ht="36.75" customHeight="1" thickBot="1" x14ac:dyDescent="0.3">
      <c r="B177" s="894" t="s">
        <v>687</v>
      </c>
      <c r="C177" s="894"/>
      <c r="D177" s="895">
        <v>6</v>
      </c>
      <c r="E177" s="895">
        <v>5.6</v>
      </c>
      <c r="F177" s="895">
        <v>4.125</v>
      </c>
      <c r="G177" s="895"/>
    </row>
    <row r="178" spans="2:9" s="398" customFormat="1" ht="36.75" customHeight="1" thickBot="1" x14ac:dyDescent="0.3">
      <c r="B178" s="894" t="s">
        <v>688</v>
      </c>
      <c r="C178" s="894"/>
      <c r="D178" s="895">
        <v>5.43</v>
      </c>
      <c r="E178" s="895">
        <v>5.4</v>
      </c>
      <c r="F178" s="895">
        <v>4.875</v>
      </c>
      <c r="G178" s="895"/>
    </row>
    <row r="179" spans="2:9" s="398" customFormat="1" ht="36.75" customHeight="1" thickBot="1" x14ac:dyDescent="0.3">
      <c r="B179" s="894" t="s">
        <v>689</v>
      </c>
      <c r="C179" s="894"/>
      <c r="D179" s="895">
        <v>5.43</v>
      </c>
      <c r="E179" s="895">
        <v>5.8</v>
      </c>
      <c r="F179" s="895">
        <v>4.5</v>
      </c>
      <c r="G179" s="895"/>
    </row>
    <row r="180" spans="2:9" s="398" customFormat="1" ht="48" customHeight="1" thickBot="1" x14ac:dyDescent="0.3">
      <c r="B180" s="894" t="s">
        <v>690</v>
      </c>
      <c r="C180" s="894"/>
      <c r="D180" s="895">
        <v>5.86</v>
      </c>
      <c r="E180" s="895">
        <v>5.7</v>
      </c>
      <c r="F180" s="895">
        <v>4.5</v>
      </c>
      <c r="G180" s="895"/>
    </row>
    <row r="181" spans="2:9" s="398" customFormat="1" ht="56.25" customHeight="1" thickBot="1" x14ac:dyDescent="0.3">
      <c r="B181" s="894" t="s">
        <v>691</v>
      </c>
      <c r="C181" s="894"/>
      <c r="D181" s="895">
        <v>5.86</v>
      </c>
      <c r="E181" s="895">
        <v>6.1</v>
      </c>
      <c r="F181" s="895">
        <v>3.75</v>
      </c>
      <c r="G181" s="895"/>
    </row>
    <row r="182" spans="2:9" s="398" customFormat="1" ht="44.25" customHeight="1" thickBot="1" x14ac:dyDescent="0.3">
      <c r="B182" s="894" t="s">
        <v>692</v>
      </c>
      <c r="C182" s="894"/>
      <c r="D182" s="895">
        <v>6</v>
      </c>
      <c r="E182" s="895">
        <v>5.8</v>
      </c>
      <c r="F182" s="895">
        <v>4.75</v>
      </c>
      <c r="G182" s="895"/>
    </row>
    <row r="183" spans="2:9" s="398" customFormat="1" ht="46.5" customHeight="1" thickBot="1" x14ac:dyDescent="0.3">
      <c r="B183" s="896" t="s">
        <v>693</v>
      </c>
      <c r="C183" s="896"/>
      <c r="D183" s="934">
        <v>5</v>
      </c>
      <c r="E183" s="934">
        <v>5.6</v>
      </c>
      <c r="F183" s="934">
        <v>4.25</v>
      </c>
      <c r="G183" s="934"/>
    </row>
    <row r="184" spans="2:9" s="398" customFormat="1" x14ac:dyDescent="0.25">
      <c r="B184" s="995" t="s">
        <v>832</v>
      </c>
      <c r="C184" s="995"/>
      <c r="G184" s="72"/>
    </row>
    <row r="185" spans="2:9" s="398" customFormat="1" x14ac:dyDescent="0.25">
      <c r="B185" s="46" t="s">
        <v>1082</v>
      </c>
      <c r="G185" s="85"/>
    </row>
    <row r="186" spans="2:9" s="398" customFormat="1" x14ac:dyDescent="0.25"/>
    <row r="187" spans="2:9" s="398" customFormat="1" x14ac:dyDescent="0.25"/>
    <row r="188" spans="2:9" x14ac:dyDescent="0.25">
      <c r="B188" s="390" t="s">
        <v>1252</v>
      </c>
    </row>
    <row r="189" spans="2:9" x14ac:dyDescent="0.25">
      <c r="B189" s="975" t="s">
        <v>12</v>
      </c>
      <c r="C189" s="975"/>
      <c r="D189" s="975"/>
      <c r="E189" s="975"/>
      <c r="F189" s="975"/>
      <c r="G189" s="975"/>
      <c r="H189" s="604"/>
    </row>
    <row r="190" spans="2:9" ht="15" customHeight="1" x14ac:dyDescent="0.25">
      <c r="B190" s="941" t="s">
        <v>272</v>
      </c>
      <c r="C190" s="941"/>
      <c r="D190" s="893" t="s">
        <v>694</v>
      </c>
      <c r="E190" s="893"/>
      <c r="F190" s="893" t="s">
        <v>695</v>
      </c>
      <c r="G190" s="893"/>
      <c r="H190" s="666" t="s">
        <v>786</v>
      </c>
    </row>
    <row r="191" spans="2:9" ht="39.75" customHeight="1" x14ac:dyDescent="0.25">
      <c r="B191" s="893"/>
      <c r="C191" s="893"/>
      <c r="D191" s="893" t="s">
        <v>1344</v>
      </c>
      <c r="E191" s="893"/>
      <c r="F191" s="893" t="s">
        <v>696</v>
      </c>
      <c r="G191" s="893"/>
      <c r="H191" s="667"/>
    </row>
    <row r="192" spans="2:9" ht="34.5" customHeight="1" thickBot="1" x14ac:dyDescent="0.3">
      <c r="B192" s="894" t="s">
        <v>591</v>
      </c>
      <c r="C192" s="894"/>
      <c r="D192" s="895">
        <v>4.93</v>
      </c>
      <c r="E192" s="895"/>
      <c r="F192" s="895">
        <v>4</v>
      </c>
      <c r="G192" s="895"/>
      <c r="H192" s="647">
        <f>AVERAGE(D192:G192)</f>
        <v>4.4649999999999999</v>
      </c>
      <c r="I192" s="398"/>
    </row>
    <row r="193" spans="2:8" ht="31.5" customHeight="1" thickBot="1" x14ac:dyDescent="0.3">
      <c r="B193" s="894" t="s">
        <v>594</v>
      </c>
      <c r="C193" s="894"/>
      <c r="D193" s="895">
        <v>6.33</v>
      </c>
      <c r="E193" s="895"/>
      <c r="F193" s="895">
        <v>6.33</v>
      </c>
      <c r="G193" s="895"/>
      <c r="H193" s="647">
        <f t="shared" ref="H193:H229" si="0">AVERAGE(D193:G193)</f>
        <v>6.33</v>
      </c>
    </row>
    <row r="194" spans="2:8" ht="18" customHeight="1" thickBot="1" x14ac:dyDescent="0.3">
      <c r="B194" s="894" t="s">
        <v>310</v>
      </c>
      <c r="C194" s="894"/>
      <c r="D194" s="895">
        <v>5.38</v>
      </c>
      <c r="E194" s="895"/>
      <c r="F194" s="895">
        <v>5.38</v>
      </c>
      <c r="G194" s="895"/>
      <c r="H194" s="647">
        <f t="shared" si="0"/>
        <v>5.38</v>
      </c>
    </row>
    <row r="195" spans="2:8" ht="16.5" customHeight="1" thickBot="1" x14ac:dyDescent="0.3">
      <c r="B195" s="894" t="s">
        <v>697</v>
      </c>
      <c r="C195" s="894"/>
      <c r="D195" s="895">
        <v>5.63</v>
      </c>
      <c r="E195" s="895"/>
      <c r="F195" s="895">
        <v>4.63</v>
      </c>
      <c r="G195" s="895"/>
      <c r="H195" s="647">
        <f t="shared" si="0"/>
        <v>5.13</v>
      </c>
    </row>
    <row r="196" spans="2:8" ht="18.75" customHeight="1" thickBot="1" x14ac:dyDescent="0.3">
      <c r="B196" s="894" t="s">
        <v>698</v>
      </c>
      <c r="C196" s="894"/>
      <c r="D196" s="895">
        <v>4.38</v>
      </c>
      <c r="E196" s="895"/>
      <c r="F196" s="895">
        <v>4.13</v>
      </c>
      <c r="G196" s="895"/>
      <c r="H196" s="647">
        <f t="shared" si="0"/>
        <v>4.2549999999999999</v>
      </c>
    </row>
    <row r="197" spans="2:8" ht="25.5" customHeight="1" thickBot="1" x14ac:dyDescent="0.3">
      <c r="B197" s="894" t="s">
        <v>699</v>
      </c>
      <c r="C197" s="894"/>
      <c r="D197" s="895">
        <v>6.14</v>
      </c>
      <c r="E197" s="895"/>
      <c r="F197" s="895">
        <v>5.71</v>
      </c>
      <c r="G197" s="895"/>
      <c r="H197" s="647">
        <f t="shared" si="0"/>
        <v>5.9249999999999998</v>
      </c>
    </row>
    <row r="198" spans="2:8" s="398" customFormat="1" ht="25.5" customHeight="1" thickBot="1" x14ac:dyDescent="0.3">
      <c r="B198" s="957" t="s">
        <v>1353</v>
      </c>
      <c r="C198" s="957"/>
      <c r="D198" s="895">
        <v>6.29</v>
      </c>
      <c r="E198" s="895"/>
      <c r="F198" s="895">
        <v>6.29</v>
      </c>
      <c r="G198" s="895"/>
      <c r="H198" s="647">
        <f t="shared" ref="H198" si="1">AVERAGE(D198:G198)</f>
        <v>6.29</v>
      </c>
    </row>
    <row r="199" spans="2:8" ht="21" customHeight="1" thickBot="1" x14ac:dyDescent="0.3">
      <c r="B199" s="894" t="s">
        <v>597</v>
      </c>
      <c r="C199" s="894"/>
      <c r="D199" s="895">
        <v>4.21</v>
      </c>
      <c r="E199" s="895"/>
      <c r="F199" s="895">
        <v>2.93</v>
      </c>
      <c r="G199" s="895"/>
      <c r="H199" s="647">
        <f t="shared" si="0"/>
        <v>3.5700000000000003</v>
      </c>
    </row>
    <row r="200" spans="2:8" ht="35.25" customHeight="1" thickBot="1" x14ac:dyDescent="0.3">
      <c r="B200" s="894" t="s">
        <v>598</v>
      </c>
      <c r="C200" s="894"/>
      <c r="D200" s="895">
        <v>5.21</v>
      </c>
      <c r="E200" s="895"/>
      <c r="F200" s="895">
        <v>5.29</v>
      </c>
      <c r="G200" s="895"/>
      <c r="H200" s="647">
        <f t="shared" si="0"/>
        <v>5.25</v>
      </c>
    </row>
    <row r="201" spans="2:8" ht="20.25" customHeight="1" thickBot="1" x14ac:dyDescent="0.3">
      <c r="B201" s="894" t="s">
        <v>599</v>
      </c>
      <c r="C201" s="894"/>
      <c r="D201" s="895">
        <v>6.22</v>
      </c>
      <c r="E201" s="895"/>
      <c r="F201" s="895">
        <v>6.11</v>
      </c>
      <c r="G201" s="895"/>
      <c r="H201" s="647">
        <f t="shared" si="0"/>
        <v>6.165</v>
      </c>
    </row>
    <row r="202" spans="2:8" ht="25.5" customHeight="1" thickBot="1" x14ac:dyDescent="0.3">
      <c r="B202" s="894" t="s">
        <v>600</v>
      </c>
      <c r="C202" s="894"/>
      <c r="D202" s="895">
        <v>5.44</v>
      </c>
      <c r="E202" s="895"/>
      <c r="F202" s="895">
        <v>5.33</v>
      </c>
      <c r="G202" s="895"/>
      <c r="H202" s="647">
        <f t="shared" si="0"/>
        <v>5.3849999999999998</v>
      </c>
    </row>
    <row r="203" spans="2:8" ht="18.75" customHeight="1" thickBot="1" x14ac:dyDescent="0.3">
      <c r="B203" s="894" t="s">
        <v>601</v>
      </c>
      <c r="C203" s="894"/>
      <c r="D203" s="895">
        <v>4.13</v>
      </c>
      <c r="E203" s="895"/>
      <c r="F203" s="895">
        <v>3.44</v>
      </c>
      <c r="G203" s="895"/>
      <c r="H203" s="647">
        <f t="shared" si="0"/>
        <v>3.7850000000000001</v>
      </c>
    </row>
    <row r="204" spans="2:8" ht="27" customHeight="1" thickBot="1" x14ac:dyDescent="0.3">
      <c r="B204" s="894" t="s">
        <v>602</v>
      </c>
      <c r="C204" s="894"/>
      <c r="D204" s="895">
        <v>6.38</v>
      </c>
      <c r="E204" s="895"/>
      <c r="F204" s="895">
        <v>6.38</v>
      </c>
      <c r="G204" s="895"/>
      <c r="H204" s="647">
        <f t="shared" si="0"/>
        <v>6.38</v>
      </c>
    </row>
    <row r="205" spans="2:8" ht="28.5" customHeight="1" thickBot="1" x14ac:dyDescent="0.3">
      <c r="B205" s="894" t="s">
        <v>603</v>
      </c>
      <c r="C205" s="894"/>
      <c r="D205" s="895">
        <v>4.17</v>
      </c>
      <c r="E205" s="895"/>
      <c r="F205" s="895">
        <v>4.28</v>
      </c>
      <c r="G205" s="895"/>
      <c r="H205" s="647">
        <f t="shared" si="0"/>
        <v>4.2249999999999996</v>
      </c>
    </row>
    <row r="206" spans="2:8" ht="36" customHeight="1" thickBot="1" x14ac:dyDescent="0.3">
      <c r="B206" s="894" t="s">
        <v>604</v>
      </c>
      <c r="C206" s="894"/>
      <c r="D206" s="895">
        <v>6.27</v>
      </c>
      <c r="E206" s="895"/>
      <c r="F206" s="895">
        <v>6.64</v>
      </c>
      <c r="G206" s="895"/>
      <c r="H206" s="647">
        <f t="shared" si="0"/>
        <v>6.4550000000000001</v>
      </c>
    </row>
    <row r="207" spans="2:8" ht="20.25" customHeight="1" thickBot="1" x14ac:dyDescent="0.3">
      <c r="B207" s="894" t="s">
        <v>700</v>
      </c>
      <c r="C207" s="894"/>
      <c r="D207" s="895">
        <v>3.38</v>
      </c>
      <c r="E207" s="895"/>
      <c r="F207" s="895">
        <v>2.85</v>
      </c>
      <c r="G207" s="895"/>
      <c r="H207" s="647">
        <f t="shared" si="0"/>
        <v>3.1150000000000002</v>
      </c>
    </row>
    <row r="208" spans="2:8" ht="26.25" customHeight="1" thickBot="1" x14ac:dyDescent="0.3">
      <c r="B208" s="894" t="s">
        <v>701</v>
      </c>
      <c r="C208" s="894"/>
      <c r="D208" s="895">
        <v>5.85</v>
      </c>
      <c r="E208" s="895"/>
      <c r="F208" s="895">
        <v>5.76</v>
      </c>
      <c r="G208" s="895"/>
      <c r="H208" s="647">
        <f t="shared" si="0"/>
        <v>5.8049999999999997</v>
      </c>
    </row>
    <row r="209" spans="2:8" ht="19.5" customHeight="1" thickBot="1" x14ac:dyDescent="0.3">
      <c r="B209" s="894" t="s">
        <v>606</v>
      </c>
      <c r="C209" s="894"/>
      <c r="D209" s="895">
        <v>5.33</v>
      </c>
      <c r="E209" s="895"/>
      <c r="F209" s="895">
        <v>5.33</v>
      </c>
      <c r="G209" s="895"/>
      <c r="H209" s="647">
        <f t="shared" si="0"/>
        <v>5.33</v>
      </c>
    </row>
    <row r="210" spans="2:8" ht="18.75" customHeight="1" thickBot="1" x14ac:dyDescent="0.3">
      <c r="B210" s="894" t="s">
        <v>607</v>
      </c>
      <c r="C210" s="894"/>
      <c r="D210" s="895">
        <v>5.32</v>
      </c>
      <c r="E210" s="895"/>
      <c r="F210" s="895">
        <v>5.21</v>
      </c>
      <c r="G210" s="895"/>
      <c r="H210" s="647">
        <f t="shared" si="0"/>
        <v>5.2650000000000006</v>
      </c>
    </row>
    <row r="211" spans="2:8" ht="36.75" customHeight="1" thickBot="1" x14ac:dyDescent="0.3">
      <c r="B211" s="894" t="s">
        <v>608</v>
      </c>
      <c r="C211" s="894"/>
      <c r="D211" s="895">
        <v>5.44</v>
      </c>
      <c r="E211" s="895"/>
      <c r="F211" s="895">
        <v>5.1100000000000003</v>
      </c>
      <c r="G211" s="895"/>
      <c r="H211" s="647">
        <f t="shared" si="0"/>
        <v>5.2750000000000004</v>
      </c>
    </row>
    <row r="212" spans="2:8" ht="37.5" customHeight="1" thickBot="1" x14ac:dyDescent="0.3">
      <c r="B212" s="894" t="s">
        <v>609</v>
      </c>
      <c r="C212" s="894"/>
      <c r="D212" s="895">
        <v>3.33</v>
      </c>
      <c r="E212" s="895"/>
      <c r="F212" s="895">
        <v>3.78</v>
      </c>
      <c r="G212" s="895"/>
      <c r="H212" s="647">
        <f t="shared" si="0"/>
        <v>3.5549999999999997</v>
      </c>
    </row>
    <row r="213" spans="2:8" ht="24.75" customHeight="1" thickBot="1" x14ac:dyDescent="0.3">
      <c r="B213" s="894" t="s">
        <v>610</v>
      </c>
      <c r="C213" s="894"/>
      <c r="D213" s="895">
        <v>7</v>
      </c>
      <c r="E213" s="895"/>
      <c r="F213" s="895">
        <v>7</v>
      </c>
      <c r="G213" s="895"/>
      <c r="H213" s="647">
        <f t="shared" si="0"/>
        <v>7</v>
      </c>
    </row>
    <row r="214" spans="2:8" ht="21" customHeight="1" thickBot="1" x14ac:dyDescent="0.3">
      <c r="B214" s="894" t="s">
        <v>324</v>
      </c>
      <c r="C214" s="894"/>
      <c r="D214" s="895">
        <v>5.33</v>
      </c>
      <c r="E214" s="895"/>
      <c r="F214" s="895">
        <v>5.17</v>
      </c>
      <c r="G214" s="895"/>
      <c r="H214" s="647">
        <f t="shared" si="0"/>
        <v>5.25</v>
      </c>
    </row>
    <row r="215" spans="2:8" ht="25.5" customHeight="1" thickBot="1" x14ac:dyDescent="0.3">
      <c r="B215" s="894" t="s">
        <v>702</v>
      </c>
      <c r="C215" s="894"/>
      <c r="D215" s="895">
        <v>5</v>
      </c>
      <c r="E215" s="895"/>
      <c r="F215" s="895">
        <v>5</v>
      </c>
      <c r="G215" s="895"/>
      <c r="H215" s="647">
        <f t="shared" si="0"/>
        <v>5</v>
      </c>
    </row>
    <row r="216" spans="2:8" ht="17.25" customHeight="1" thickBot="1" x14ac:dyDescent="0.3">
      <c r="B216" s="894" t="s">
        <v>611</v>
      </c>
      <c r="C216" s="894"/>
      <c r="D216" s="895">
        <v>3.38</v>
      </c>
      <c r="E216" s="895"/>
      <c r="F216" s="895">
        <v>2.88</v>
      </c>
      <c r="G216" s="895"/>
      <c r="H216" s="647">
        <f t="shared" si="0"/>
        <v>3.13</v>
      </c>
    </row>
    <row r="217" spans="2:8" ht="30.75" customHeight="1" thickBot="1" x14ac:dyDescent="0.3">
      <c r="B217" s="894" t="s">
        <v>612</v>
      </c>
      <c r="C217" s="894"/>
      <c r="D217" s="895">
        <v>6.25</v>
      </c>
      <c r="E217" s="895"/>
      <c r="F217" s="895">
        <v>6.25</v>
      </c>
      <c r="G217" s="895"/>
      <c r="H217" s="647">
        <f t="shared" si="0"/>
        <v>6.25</v>
      </c>
    </row>
    <row r="218" spans="2:8" ht="19.5" customHeight="1" thickBot="1" x14ac:dyDescent="0.3">
      <c r="B218" s="894" t="s">
        <v>333</v>
      </c>
      <c r="C218" s="894"/>
      <c r="D218" s="895">
        <v>5.33</v>
      </c>
      <c r="E218" s="895"/>
      <c r="F218" s="895">
        <v>5</v>
      </c>
      <c r="G218" s="895"/>
      <c r="H218" s="647">
        <f t="shared" si="0"/>
        <v>5.165</v>
      </c>
    </row>
    <row r="219" spans="2:8" ht="30" customHeight="1" thickBot="1" x14ac:dyDescent="0.3">
      <c r="B219" s="894" t="s">
        <v>613</v>
      </c>
      <c r="C219" s="894"/>
      <c r="D219" s="895">
        <v>3.38</v>
      </c>
      <c r="E219" s="895"/>
      <c r="F219" s="895">
        <v>2.88</v>
      </c>
      <c r="G219" s="895"/>
      <c r="H219" s="647">
        <f t="shared" si="0"/>
        <v>3.13</v>
      </c>
    </row>
    <row r="220" spans="2:8" ht="29.25" customHeight="1" thickBot="1" x14ac:dyDescent="0.3">
      <c r="B220" s="894" t="s">
        <v>341</v>
      </c>
      <c r="C220" s="894"/>
      <c r="D220" s="895">
        <v>2.13</v>
      </c>
      <c r="E220" s="895"/>
      <c r="F220" s="895">
        <v>2</v>
      </c>
      <c r="G220" s="895"/>
      <c r="H220" s="647">
        <f t="shared" si="0"/>
        <v>2.0649999999999999</v>
      </c>
    </row>
    <row r="221" spans="2:8" ht="17.25" customHeight="1" thickBot="1" x14ac:dyDescent="0.3">
      <c r="B221" s="894" t="s">
        <v>343</v>
      </c>
      <c r="C221" s="894"/>
      <c r="D221" s="895">
        <v>4.25</v>
      </c>
      <c r="E221" s="895"/>
      <c r="F221" s="895">
        <v>4.25</v>
      </c>
      <c r="G221" s="895"/>
      <c r="H221" s="647">
        <f t="shared" si="0"/>
        <v>4.25</v>
      </c>
    </row>
    <row r="222" spans="2:8" ht="39.75" customHeight="1" thickBot="1" x14ac:dyDescent="0.3">
      <c r="B222" s="894" t="s">
        <v>614</v>
      </c>
      <c r="C222" s="894"/>
      <c r="D222" s="895">
        <v>5.25</v>
      </c>
      <c r="E222" s="895"/>
      <c r="F222" s="895">
        <v>5.25</v>
      </c>
      <c r="G222" s="895"/>
      <c r="H222" s="647">
        <f t="shared" si="0"/>
        <v>5.25</v>
      </c>
    </row>
    <row r="223" spans="2:8" ht="18.75" customHeight="1" thickBot="1" x14ac:dyDescent="0.3">
      <c r="B223" s="894" t="s">
        <v>615</v>
      </c>
      <c r="C223" s="894"/>
      <c r="D223" s="895">
        <v>6.25</v>
      </c>
      <c r="E223" s="895"/>
      <c r="F223" s="895">
        <v>6</v>
      </c>
      <c r="G223" s="895"/>
      <c r="H223" s="647">
        <f t="shared" si="0"/>
        <v>6.125</v>
      </c>
    </row>
    <row r="224" spans="2:8" ht="26.25" customHeight="1" thickBot="1" x14ac:dyDescent="0.3">
      <c r="B224" s="894" t="s">
        <v>337</v>
      </c>
      <c r="C224" s="894"/>
      <c r="D224" s="895">
        <v>5.43</v>
      </c>
      <c r="E224" s="895"/>
      <c r="F224" s="895">
        <v>5.57</v>
      </c>
      <c r="G224" s="895"/>
      <c r="H224" s="647">
        <f t="shared" si="0"/>
        <v>5.5</v>
      </c>
    </row>
    <row r="225" spans="2:12" ht="18.75" customHeight="1" thickBot="1" x14ac:dyDescent="0.3">
      <c r="B225" s="894" t="s">
        <v>346</v>
      </c>
      <c r="C225" s="894"/>
      <c r="D225" s="895">
        <v>6.5</v>
      </c>
      <c r="E225" s="895"/>
      <c r="F225" s="895">
        <v>6.5</v>
      </c>
      <c r="G225" s="895"/>
      <c r="H225" s="647">
        <f t="shared" si="0"/>
        <v>6.5</v>
      </c>
    </row>
    <row r="226" spans="2:12" ht="38.25" customHeight="1" thickBot="1" x14ac:dyDescent="0.3">
      <c r="B226" s="894" t="s">
        <v>616</v>
      </c>
      <c r="C226" s="894"/>
      <c r="D226" s="895">
        <v>6.5</v>
      </c>
      <c r="E226" s="895"/>
      <c r="F226" s="895">
        <v>6.63</v>
      </c>
      <c r="G226" s="895"/>
      <c r="H226" s="647">
        <f t="shared" si="0"/>
        <v>6.5649999999999995</v>
      </c>
    </row>
    <row r="227" spans="2:12" ht="27" customHeight="1" thickBot="1" x14ac:dyDescent="0.3">
      <c r="B227" s="894" t="s">
        <v>617</v>
      </c>
      <c r="C227" s="894"/>
      <c r="D227" s="895">
        <v>6.4</v>
      </c>
      <c r="E227" s="895"/>
      <c r="F227" s="895">
        <v>5</v>
      </c>
      <c r="G227" s="895"/>
      <c r="H227" s="647">
        <f t="shared" si="0"/>
        <v>5.7</v>
      </c>
    </row>
    <row r="228" spans="2:12" ht="37.5" customHeight="1" thickBot="1" x14ac:dyDescent="0.3">
      <c r="B228" s="894" t="s">
        <v>618</v>
      </c>
      <c r="C228" s="894"/>
      <c r="D228" s="895">
        <v>6.67</v>
      </c>
      <c r="E228" s="895"/>
      <c r="F228" s="895">
        <v>6.67</v>
      </c>
      <c r="G228" s="895"/>
      <c r="H228" s="647">
        <f t="shared" si="0"/>
        <v>6.67</v>
      </c>
    </row>
    <row r="229" spans="2:12" ht="29.25" customHeight="1" x14ac:dyDescent="0.25">
      <c r="B229" s="971" t="s">
        <v>619</v>
      </c>
      <c r="C229" s="971"/>
      <c r="D229" s="976">
        <v>6.6</v>
      </c>
      <c r="E229" s="976"/>
      <c r="F229" s="976">
        <v>7</v>
      </c>
      <c r="G229" s="976"/>
      <c r="H229" s="648">
        <f t="shared" si="0"/>
        <v>6.8</v>
      </c>
      <c r="I229" s="594"/>
    </row>
    <row r="230" spans="2:12" ht="21" customHeight="1" thickBot="1" x14ac:dyDescent="0.3">
      <c r="B230" s="973" t="s">
        <v>703</v>
      </c>
      <c r="C230" s="973"/>
      <c r="D230" s="974">
        <f>AVERAGE(D192:D229)</f>
        <v>5.3002631578947357</v>
      </c>
      <c r="E230" s="974"/>
      <c r="F230" s="974">
        <f>AVERAGE(F192:F229)</f>
        <v>5.1042105263157884</v>
      </c>
      <c r="G230" s="974"/>
      <c r="H230" s="605">
        <f>AVERAGE(H192:H229)</f>
        <v>5.202236842105262</v>
      </c>
    </row>
    <row r="232" spans="2:12" x14ac:dyDescent="0.25">
      <c r="B232" s="975" t="s">
        <v>13</v>
      </c>
      <c r="C232" s="975"/>
      <c r="D232" s="975"/>
      <c r="E232" s="975"/>
      <c r="F232" s="975"/>
      <c r="G232" s="975"/>
      <c r="H232" s="604"/>
      <c r="I232" s="398"/>
    </row>
    <row r="233" spans="2:12" x14ac:dyDescent="0.25">
      <c r="B233" s="941" t="s">
        <v>272</v>
      </c>
      <c r="C233" s="941"/>
      <c r="D233" s="893" t="s">
        <v>694</v>
      </c>
      <c r="E233" s="893"/>
      <c r="F233" s="893" t="s">
        <v>695</v>
      </c>
      <c r="G233" s="893"/>
      <c r="H233" s="666" t="s">
        <v>786</v>
      </c>
      <c r="I233" s="398"/>
    </row>
    <row r="234" spans="2:12" ht="40.5" customHeight="1" x14ac:dyDescent="0.25">
      <c r="B234" s="893"/>
      <c r="C234" s="893"/>
      <c r="D234" s="893" t="s">
        <v>1344</v>
      </c>
      <c r="E234" s="893"/>
      <c r="F234" s="893" t="s">
        <v>696</v>
      </c>
      <c r="G234" s="893">
        <v>2018</v>
      </c>
      <c r="H234" s="667"/>
      <c r="I234" s="398"/>
    </row>
    <row r="235" spans="2:12" ht="26.25" customHeight="1" thickBot="1" x14ac:dyDescent="0.3">
      <c r="B235" s="894" t="s">
        <v>787</v>
      </c>
      <c r="C235" s="894"/>
      <c r="D235" s="895">
        <v>5.5757575757575761</v>
      </c>
      <c r="E235" s="895"/>
      <c r="F235" s="895">
        <v>4.9696969696969697</v>
      </c>
      <c r="G235" s="895">
        <v>4.5199999999999996</v>
      </c>
      <c r="H235" s="647">
        <f>AVERAGE(D235,F235)</f>
        <v>5.2727272727272734</v>
      </c>
      <c r="I235" s="398"/>
    </row>
    <row r="236" spans="2:12" ht="25.5" customHeight="1" thickBot="1" x14ac:dyDescent="0.3">
      <c r="B236" s="894" t="s">
        <v>405</v>
      </c>
      <c r="C236" s="894"/>
      <c r="D236" s="895">
        <v>6.096774193548387</v>
      </c>
      <c r="E236" s="895"/>
      <c r="F236" s="895">
        <v>5.967741935483871</v>
      </c>
      <c r="G236" s="895">
        <v>6.55</v>
      </c>
      <c r="H236" s="647">
        <f t="shared" ref="H236:H278" si="2">AVERAGE(D236,F236)</f>
        <v>6.032258064516129</v>
      </c>
      <c r="I236" s="398"/>
    </row>
    <row r="237" spans="2:12" ht="15.75" thickBot="1" x14ac:dyDescent="0.3">
      <c r="B237" s="894" t="s">
        <v>788</v>
      </c>
      <c r="C237" s="894"/>
      <c r="D237" s="895">
        <v>5.8</v>
      </c>
      <c r="E237" s="895"/>
      <c r="F237" s="895">
        <v>5.2</v>
      </c>
      <c r="G237" s="895">
        <v>5.31</v>
      </c>
      <c r="H237" s="647">
        <f t="shared" si="2"/>
        <v>5.5</v>
      </c>
      <c r="I237" s="398"/>
      <c r="K237" s="18"/>
      <c r="L237" s="18"/>
    </row>
    <row r="238" spans="2:12" ht="15.75" thickBot="1" x14ac:dyDescent="0.3">
      <c r="B238" s="894" t="s">
        <v>387</v>
      </c>
      <c r="C238" s="894"/>
      <c r="D238" s="895">
        <v>5.3137254901960782</v>
      </c>
      <c r="E238" s="895"/>
      <c r="F238" s="895">
        <v>4.9607843137254903</v>
      </c>
      <c r="G238" s="895">
        <v>5.08</v>
      </c>
      <c r="H238" s="647">
        <f t="shared" si="2"/>
        <v>5.1372549019607838</v>
      </c>
      <c r="I238" s="398"/>
    </row>
    <row r="239" spans="2:12" ht="15.75" thickBot="1" x14ac:dyDescent="0.3">
      <c r="B239" s="894" t="s">
        <v>393</v>
      </c>
      <c r="C239" s="894"/>
      <c r="D239" s="895">
        <v>5.6046511627906979</v>
      </c>
      <c r="E239" s="895"/>
      <c r="F239" s="895">
        <v>5.3720930232558137</v>
      </c>
      <c r="G239" s="895">
        <v>5.71</v>
      </c>
      <c r="H239" s="647">
        <f t="shared" si="2"/>
        <v>5.4883720930232558</v>
      </c>
      <c r="I239" s="398"/>
    </row>
    <row r="240" spans="2:12" ht="26.25" customHeight="1" thickBot="1" x14ac:dyDescent="0.3">
      <c r="B240" s="894" t="s">
        <v>789</v>
      </c>
      <c r="C240" s="894"/>
      <c r="D240" s="895">
        <v>5.3902439024390247</v>
      </c>
      <c r="E240" s="895"/>
      <c r="F240" s="895">
        <v>5.1951219512195124</v>
      </c>
      <c r="G240" s="895">
        <v>5.6</v>
      </c>
      <c r="H240" s="647">
        <f t="shared" si="2"/>
        <v>5.2926829268292686</v>
      </c>
      <c r="I240" s="398"/>
    </row>
    <row r="241" spans="2:9" ht="24.75" customHeight="1" thickBot="1" x14ac:dyDescent="0.3">
      <c r="B241" s="894" t="s">
        <v>790</v>
      </c>
      <c r="C241" s="894"/>
      <c r="D241" s="895">
        <v>5.6363636363636367</v>
      </c>
      <c r="E241" s="895"/>
      <c r="F241" s="895">
        <v>5.333333333333333</v>
      </c>
      <c r="G241" s="895">
        <v>5</v>
      </c>
      <c r="H241" s="647">
        <f t="shared" si="2"/>
        <v>5.4848484848484844</v>
      </c>
      <c r="I241" s="398"/>
    </row>
    <row r="242" spans="2:9" ht="15.75" thickBot="1" x14ac:dyDescent="0.3">
      <c r="B242" s="894" t="s">
        <v>395</v>
      </c>
      <c r="C242" s="894"/>
      <c r="D242" s="895">
        <v>5.0526315789473681</v>
      </c>
      <c r="E242" s="895"/>
      <c r="F242" s="895">
        <v>4.9736842105263159</v>
      </c>
      <c r="G242" s="895">
        <v>5.29</v>
      </c>
      <c r="H242" s="647">
        <f t="shared" si="2"/>
        <v>5.0131578947368425</v>
      </c>
      <c r="I242" s="398"/>
    </row>
    <row r="243" spans="2:9" ht="24" customHeight="1" thickBot="1" x14ac:dyDescent="0.3">
      <c r="B243" s="894" t="s">
        <v>791</v>
      </c>
      <c r="C243" s="894"/>
      <c r="D243" s="895">
        <v>6.0952380952380949</v>
      </c>
      <c r="E243" s="895"/>
      <c r="F243" s="895">
        <v>6</v>
      </c>
      <c r="G243" s="895">
        <v>6.4</v>
      </c>
      <c r="H243" s="647">
        <f t="shared" si="2"/>
        <v>6.0476190476190474</v>
      </c>
      <c r="I243" s="398"/>
    </row>
    <row r="244" spans="2:9" ht="15.75" thickBot="1" x14ac:dyDescent="0.3">
      <c r="B244" s="894" t="s">
        <v>410</v>
      </c>
      <c r="C244" s="894"/>
      <c r="D244" s="895">
        <v>6.3255813953488369</v>
      </c>
      <c r="E244" s="895"/>
      <c r="F244" s="895">
        <v>5.9534883720930232</v>
      </c>
      <c r="G244" s="895">
        <v>6.15</v>
      </c>
      <c r="H244" s="647">
        <f t="shared" si="2"/>
        <v>6.1395348837209305</v>
      </c>
      <c r="I244" s="398"/>
    </row>
    <row r="245" spans="2:9" ht="15.75" thickBot="1" x14ac:dyDescent="0.3">
      <c r="B245" s="894" t="s">
        <v>419</v>
      </c>
      <c r="C245" s="894"/>
      <c r="D245" s="895">
        <v>5.0740740740740744</v>
      </c>
      <c r="E245" s="895"/>
      <c r="F245" s="895">
        <v>5.333333333333333</v>
      </c>
      <c r="G245" s="895">
        <v>4.12</v>
      </c>
      <c r="H245" s="647">
        <f t="shared" si="2"/>
        <v>5.2037037037037042</v>
      </c>
      <c r="I245" s="398"/>
    </row>
    <row r="246" spans="2:9" ht="15.75" thickBot="1" x14ac:dyDescent="0.3">
      <c r="B246" s="894" t="s">
        <v>423</v>
      </c>
      <c r="C246" s="894"/>
      <c r="D246" s="895">
        <v>6.6</v>
      </c>
      <c r="E246" s="895"/>
      <c r="F246" s="895">
        <v>6.44</v>
      </c>
      <c r="G246" s="895">
        <v>6.32</v>
      </c>
      <c r="H246" s="647">
        <f t="shared" si="2"/>
        <v>6.52</v>
      </c>
      <c r="I246" s="398"/>
    </row>
    <row r="247" spans="2:9" ht="15.75" thickBot="1" x14ac:dyDescent="0.3">
      <c r="B247" s="894" t="s">
        <v>412</v>
      </c>
      <c r="C247" s="894"/>
      <c r="D247" s="895">
        <v>5.8888888888888893</v>
      </c>
      <c r="E247" s="895"/>
      <c r="F247" s="895">
        <v>5.7777777777777777</v>
      </c>
      <c r="G247" s="895">
        <v>5.14</v>
      </c>
      <c r="H247" s="647">
        <f t="shared" si="2"/>
        <v>5.8333333333333339</v>
      </c>
      <c r="I247" s="398"/>
    </row>
    <row r="248" spans="2:9" ht="25.5" customHeight="1" thickBot="1" x14ac:dyDescent="0.3">
      <c r="B248" s="894" t="s">
        <v>421</v>
      </c>
      <c r="C248" s="894"/>
      <c r="D248" s="895">
        <v>4.625</v>
      </c>
      <c r="E248" s="895"/>
      <c r="F248" s="895">
        <v>4.5</v>
      </c>
      <c r="G248" s="895">
        <v>5.33</v>
      </c>
      <c r="H248" s="647">
        <f t="shared" si="2"/>
        <v>4.5625</v>
      </c>
      <c r="I248" s="398"/>
    </row>
    <row r="249" spans="2:9" ht="15.75" thickBot="1" x14ac:dyDescent="0.3">
      <c r="B249" s="894" t="s">
        <v>425</v>
      </c>
      <c r="C249" s="894"/>
      <c r="D249" s="895">
        <v>6.5789473684210522</v>
      </c>
      <c r="E249" s="895"/>
      <c r="F249" s="895">
        <v>6.3421052631578947</v>
      </c>
      <c r="G249" s="895">
        <v>6.92</v>
      </c>
      <c r="H249" s="647">
        <f t="shared" si="2"/>
        <v>6.4605263157894735</v>
      </c>
      <c r="I249" s="398"/>
    </row>
    <row r="250" spans="2:9" ht="15.75" thickBot="1" x14ac:dyDescent="0.3">
      <c r="B250" s="894" t="s">
        <v>792</v>
      </c>
      <c r="C250" s="894"/>
      <c r="D250" s="895">
        <v>5.5172413793103452</v>
      </c>
      <c r="E250" s="895"/>
      <c r="F250" s="895">
        <v>5.6551724137931032</v>
      </c>
      <c r="G250" s="895">
        <v>5.15</v>
      </c>
      <c r="H250" s="647">
        <f t="shared" si="2"/>
        <v>5.5862068965517242</v>
      </c>
      <c r="I250" s="398"/>
    </row>
    <row r="251" spans="2:9" ht="15.75" thickBot="1" x14ac:dyDescent="0.3">
      <c r="B251" s="894" t="s">
        <v>429</v>
      </c>
      <c r="C251" s="894"/>
      <c r="D251" s="895">
        <v>6.35</v>
      </c>
      <c r="E251" s="895"/>
      <c r="F251" s="895">
        <v>6.15</v>
      </c>
      <c r="G251" s="895">
        <v>6.88</v>
      </c>
      <c r="H251" s="647">
        <f t="shared" si="2"/>
        <v>6.25</v>
      </c>
      <c r="I251" s="398"/>
    </row>
    <row r="252" spans="2:9" ht="15.75" thickBot="1" x14ac:dyDescent="0.3">
      <c r="B252" s="894" t="s">
        <v>793</v>
      </c>
      <c r="C252" s="894"/>
      <c r="D252" s="895">
        <v>6.1714285714285717</v>
      </c>
      <c r="E252" s="895"/>
      <c r="F252" s="895">
        <v>5.6857142857142859</v>
      </c>
      <c r="G252" s="895">
        <v>6.17</v>
      </c>
      <c r="H252" s="647">
        <f t="shared" si="2"/>
        <v>5.9285714285714288</v>
      </c>
      <c r="I252" s="398"/>
    </row>
    <row r="253" spans="2:9" ht="34.5" customHeight="1" thickBot="1" x14ac:dyDescent="0.3">
      <c r="B253" s="894" t="s">
        <v>794</v>
      </c>
      <c r="C253" s="894"/>
      <c r="D253" s="895">
        <v>6.8285714285714283</v>
      </c>
      <c r="E253" s="895"/>
      <c r="F253" s="895">
        <v>6.7428571428571429</v>
      </c>
      <c r="G253" s="895">
        <v>6.69</v>
      </c>
      <c r="H253" s="647">
        <f t="shared" si="2"/>
        <v>6.7857142857142856</v>
      </c>
      <c r="I253" s="398"/>
    </row>
    <row r="254" spans="2:9" ht="15.75" thickBot="1" x14ac:dyDescent="0.3">
      <c r="B254" s="894" t="s">
        <v>795</v>
      </c>
      <c r="C254" s="894"/>
      <c r="D254" s="895">
        <v>6.5277777777777777</v>
      </c>
      <c r="E254" s="895"/>
      <c r="F254" s="895">
        <v>6.333333333333333</v>
      </c>
      <c r="G254" s="895">
        <v>6.17</v>
      </c>
      <c r="H254" s="647">
        <f t="shared" si="2"/>
        <v>6.4305555555555554</v>
      </c>
      <c r="I254" s="398"/>
    </row>
    <row r="255" spans="2:9" ht="15.75" thickBot="1" x14ac:dyDescent="0.3">
      <c r="B255" s="894" t="s">
        <v>796</v>
      </c>
      <c r="C255" s="894"/>
      <c r="D255" s="895">
        <v>4.1136363636363633</v>
      </c>
      <c r="E255" s="895"/>
      <c r="F255" s="895">
        <v>3.7272727272727271</v>
      </c>
      <c r="G255" s="895">
        <v>4.42</v>
      </c>
      <c r="H255" s="647">
        <f t="shared" si="2"/>
        <v>3.920454545454545</v>
      </c>
      <c r="I255" s="398"/>
    </row>
    <row r="256" spans="2:9" ht="24.75" customHeight="1" thickBot="1" x14ac:dyDescent="0.3">
      <c r="B256" s="894" t="s">
        <v>797</v>
      </c>
      <c r="C256" s="894"/>
      <c r="D256" s="895">
        <v>6.5277777777777777</v>
      </c>
      <c r="E256" s="895"/>
      <c r="F256" s="895">
        <v>6.4444444444444446</v>
      </c>
      <c r="G256" s="895">
        <v>6</v>
      </c>
      <c r="H256" s="647">
        <f t="shared" si="2"/>
        <v>6.4861111111111107</v>
      </c>
      <c r="I256" s="398"/>
    </row>
    <row r="257" spans="2:9" ht="33.75" customHeight="1" thickBot="1" x14ac:dyDescent="0.3">
      <c r="B257" s="894" t="s">
        <v>798</v>
      </c>
      <c r="C257" s="894"/>
      <c r="D257" s="895">
        <v>5.8571428571428568</v>
      </c>
      <c r="E257" s="895"/>
      <c r="F257" s="895">
        <v>6</v>
      </c>
      <c r="G257" s="895">
        <v>6.87</v>
      </c>
      <c r="H257" s="647">
        <f t="shared" si="2"/>
        <v>5.9285714285714288</v>
      </c>
      <c r="I257" s="398"/>
    </row>
    <row r="258" spans="2:9" ht="15.75" thickBot="1" x14ac:dyDescent="0.3">
      <c r="B258" s="894" t="s">
        <v>449</v>
      </c>
      <c r="C258" s="894"/>
      <c r="D258" s="895">
        <v>1</v>
      </c>
      <c r="E258" s="895"/>
      <c r="F258" s="895">
        <v>1</v>
      </c>
      <c r="G258" s="895">
        <v>4.72</v>
      </c>
      <c r="H258" s="647">
        <f t="shared" si="2"/>
        <v>1</v>
      </c>
      <c r="I258" s="398"/>
    </row>
    <row r="259" spans="2:9" ht="24.75" customHeight="1" thickBot="1" x14ac:dyDescent="0.3">
      <c r="B259" s="894" t="s">
        <v>430</v>
      </c>
      <c r="C259" s="894"/>
      <c r="D259" s="895">
        <v>3.6666666666666665</v>
      </c>
      <c r="E259" s="895"/>
      <c r="F259" s="895">
        <v>4.2222222222222223</v>
      </c>
      <c r="G259" s="895">
        <v>3.69</v>
      </c>
      <c r="H259" s="647">
        <f t="shared" si="2"/>
        <v>3.9444444444444446</v>
      </c>
      <c r="I259" s="398"/>
    </row>
    <row r="260" spans="2:9" ht="26.25" customHeight="1" thickBot="1" x14ac:dyDescent="0.3">
      <c r="B260" s="894" t="s">
        <v>799</v>
      </c>
      <c r="C260" s="894"/>
      <c r="D260" s="895">
        <v>5</v>
      </c>
      <c r="E260" s="895"/>
      <c r="F260" s="895">
        <v>5.25</v>
      </c>
      <c r="G260" s="895">
        <v>6.52</v>
      </c>
      <c r="H260" s="647">
        <f t="shared" si="2"/>
        <v>5.125</v>
      </c>
      <c r="I260" s="398"/>
    </row>
    <row r="261" spans="2:9" ht="24" customHeight="1" thickBot="1" x14ac:dyDescent="0.3">
      <c r="B261" s="894" t="s">
        <v>800</v>
      </c>
      <c r="C261" s="894"/>
      <c r="D261" s="895">
        <v>6.083333333333333</v>
      </c>
      <c r="E261" s="895"/>
      <c r="F261" s="895">
        <v>5.5</v>
      </c>
      <c r="G261" s="895">
        <v>6.6</v>
      </c>
      <c r="H261" s="647">
        <f t="shared" si="2"/>
        <v>5.7916666666666661</v>
      </c>
      <c r="I261" s="398"/>
    </row>
    <row r="262" spans="2:9" ht="15.75" thickBot="1" x14ac:dyDescent="0.3">
      <c r="B262" s="894" t="s">
        <v>438</v>
      </c>
      <c r="C262" s="894"/>
      <c r="D262" s="895">
        <v>6.2666666666666666</v>
      </c>
      <c r="E262" s="895"/>
      <c r="F262" s="895">
        <v>5.8666666666666663</v>
      </c>
      <c r="G262" s="895">
        <v>6.57</v>
      </c>
      <c r="H262" s="647">
        <f t="shared" si="2"/>
        <v>6.0666666666666664</v>
      </c>
      <c r="I262" s="398"/>
    </row>
    <row r="263" spans="2:9" ht="15.75" thickBot="1" x14ac:dyDescent="0.3">
      <c r="B263" s="894" t="s">
        <v>445</v>
      </c>
      <c r="C263" s="894"/>
      <c r="D263" s="895">
        <v>5.25</v>
      </c>
      <c r="E263" s="895"/>
      <c r="F263" s="895">
        <v>5.125</v>
      </c>
      <c r="G263" s="895">
        <v>5</v>
      </c>
      <c r="H263" s="647">
        <f t="shared" si="2"/>
        <v>5.1875</v>
      </c>
      <c r="I263" s="398"/>
    </row>
    <row r="264" spans="2:9" ht="15.75" thickBot="1" x14ac:dyDescent="0.3">
      <c r="B264" s="894" t="s">
        <v>801</v>
      </c>
      <c r="C264" s="894"/>
      <c r="D264" s="895">
        <v>6</v>
      </c>
      <c r="E264" s="895"/>
      <c r="F264" s="895">
        <v>5.6491228070175437</v>
      </c>
      <c r="G264" s="895">
        <v>4.75</v>
      </c>
      <c r="H264" s="647">
        <f t="shared" si="2"/>
        <v>5.8245614035087723</v>
      </c>
      <c r="I264" s="398"/>
    </row>
    <row r="265" spans="2:9" ht="15.75" thickBot="1" x14ac:dyDescent="0.3">
      <c r="B265" s="894" t="s">
        <v>439</v>
      </c>
      <c r="C265" s="894"/>
      <c r="D265" s="895">
        <v>6.0666666666666664</v>
      </c>
      <c r="E265" s="895"/>
      <c r="F265" s="895">
        <v>5.8</v>
      </c>
      <c r="G265" s="895">
        <v>5</v>
      </c>
      <c r="H265" s="647">
        <f t="shared" si="2"/>
        <v>5.9333333333333336</v>
      </c>
      <c r="I265" s="398"/>
    </row>
    <row r="266" spans="2:9" ht="25.5" customHeight="1" thickBot="1" x14ac:dyDescent="0.3">
      <c r="B266" s="894" t="s">
        <v>802</v>
      </c>
      <c r="C266" s="894"/>
      <c r="D266" s="895">
        <v>6.333333333333333</v>
      </c>
      <c r="E266" s="895"/>
      <c r="F266" s="895">
        <v>5.333333333333333</v>
      </c>
      <c r="G266" s="895">
        <v>2</v>
      </c>
      <c r="H266" s="647">
        <f t="shared" si="2"/>
        <v>5.833333333333333</v>
      </c>
      <c r="I266" s="398"/>
    </row>
    <row r="267" spans="2:9" ht="35.25" customHeight="1" thickBot="1" x14ac:dyDescent="0.3">
      <c r="B267" s="894" t="s">
        <v>803</v>
      </c>
      <c r="C267" s="894"/>
      <c r="D267" s="895">
        <v>6</v>
      </c>
      <c r="E267" s="895"/>
      <c r="F267" s="895">
        <v>5.8571428571428568</v>
      </c>
      <c r="G267" s="895">
        <v>4.71</v>
      </c>
      <c r="H267" s="647">
        <f t="shared" si="2"/>
        <v>5.9285714285714288</v>
      </c>
      <c r="I267" s="398"/>
    </row>
    <row r="268" spans="2:9" ht="15.75" thickBot="1" x14ac:dyDescent="0.3">
      <c r="B268" s="894" t="s">
        <v>804</v>
      </c>
      <c r="C268" s="894"/>
      <c r="D268" s="895" t="s">
        <v>64</v>
      </c>
      <c r="E268" s="895"/>
      <c r="F268" s="895" t="s">
        <v>64</v>
      </c>
      <c r="G268" s="895">
        <v>5.4</v>
      </c>
      <c r="H268" s="647" t="s">
        <v>64</v>
      </c>
      <c r="I268" s="398"/>
    </row>
    <row r="269" spans="2:9" ht="15.75" thickBot="1" x14ac:dyDescent="0.3">
      <c r="B269" s="894" t="s">
        <v>434</v>
      </c>
      <c r="C269" s="894"/>
      <c r="D269" s="895">
        <v>6.4285714285714288</v>
      </c>
      <c r="E269" s="895"/>
      <c r="F269" s="895">
        <v>6.2857142857142856</v>
      </c>
      <c r="G269" s="895">
        <v>6.43</v>
      </c>
      <c r="H269" s="647">
        <f t="shared" si="2"/>
        <v>6.3571428571428577</v>
      </c>
      <c r="I269" s="398"/>
    </row>
    <row r="270" spans="2:9" ht="25.5" customHeight="1" thickBot="1" x14ac:dyDescent="0.3">
      <c r="B270" s="894" t="s">
        <v>442</v>
      </c>
      <c r="C270" s="894"/>
      <c r="D270" s="895">
        <v>6.2857142857142856</v>
      </c>
      <c r="E270" s="895"/>
      <c r="F270" s="895">
        <v>6.2142857142857144</v>
      </c>
      <c r="G270" s="895">
        <v>6.25</v>
      </c>
      <c r="H270" s="647">
        <f t="shared" si="2"/>
        <v>6.25</v>
      </c>
      <c r="I270" s="398"/>
    </row>
    <row r="271" spans="2:9" ht="36" customHeight="1" thickBot="1" x14ac:dyDescent="0.3">
      <c r="B271" s="894" t="s">
        <v>805</v>
      </c>
      <c r="C271" s="894"/>
      <c r="D271" s="895">
        <v>6.5</v>
      </c>
      <c r="E271" s="895"/>
      <c r="F271" s="895">
        <v>6.5</v>
      </c>
      <c r="G271" s="895">
        <v>5.67</v>
      </c>
      <c r="H271" s="647">
        <f t="shared" si="2"/>
        <v>6.5</v>
      </c>
      <c r="I271" s="398"/>
    </row>
    <row r="272" spans="2:9" ht="23.25" customHeight="1" thickBot="1" x14ac:dyDescent="0.3">
      <c r="B272" s="894" t="s">
        <v>806</v>
      </c>
      <c r="C272" s="894"/>
      <c r="D272" s="895" t="s">
        <v>64</v>
      </c>
      <c r="E272" s="895"/>
      <c r="F272" s="895" t="s">
        <v>64</v>
      </c>
      <c r="G272" s="895">
        <v>6.33</v>
      </c>
      <c r="H272" s="647" t="s">
        <v>64</v>
      </c>
      <c r="I272" s="398"/>
    </row>
    <row r="273" spans="2:9" ht="15.75" thickBot="1" x14ac:dyDescent="0.3">
      <c r="B273" s="894" t="s">
        <v>807</v>
      </c>
      <c r="C273" s="894"/>
      <c r="D273" s="895">
        <v>3.84</v>
      </c>
      <c r="E273" s="895"/>
      <c r="F273" s="895">
        <v>3.56</v>
      </c>
      <c r="G273" s="895">
        <v>4.55</v>
      </c>
      <c r="H273" s="647">
        <f t="shared" si="2"/>
        <v>3.7</v>
      </c>
      <c r="I273" s="398"/>
    </row>
    <row r="274" spans="2:9" ht="36" customHeight="1" thickBot="1" x14ac:dyDescent="0.3">
      <c r="B274" s="894" t="s">
        <v>808</v>
      </c>
      <c r="C274" s="894"/>
      <c r="D274" s="895">
        <v>6.7777777777777777</v>
      </c>
      <c r="E274" s="895"/>
      <c r="F274" s="895">
        <v>6.7222222222222223</v>
      </c>
      <c r="G274" s="895">
        <v>6.69</v>
      </c>
      <c r="H274" s="647">
        <f t="shared" si="2"/>
        <v>6.75</v>
      </c>
      <c r="I274" s="398"/>
    </row>
    <row r="275" spans="2:9" ht="15.75" thickBot="1" x14ac:dyDescent="0.3">
      <c r="B275" s="894" t="s">
        <v>809</v>
      </c>
      <c r="C275" s="894"/>
      <c r="D275" s="895">
        <v>5.2857142857142856</v>
      </c>
      <c r="E275" s="895"/>
      <c r="F275" s="895">
        <v>5.4761904761904763</v>
      </c>
      <c r="G275" s="895">
        <v>5.76</v>
      </c>
      <c r="H275" s="647">
        <f t="shared" si="2"/>
        <v>5.3809523809523814</v>
      </c>
      <c r="I275" s="398"/>
    </row>
    <row r="276" spans="2:9" ht="15.75" thickBot="1" x14ac:dyDescent="0.3">
      <c r="B276" s="894" t="s">
        <v>466</v>
      </c>
      <c r="C276" s="894"/>
      <c r="D276" s="895">
        <v>6.1904761904761907</v>
      </c>
      <c r="E276" s="895"/>
      <c r="F276" s="895">
        <v>5.8571428571428568</v>
      </c>
      <c r="G276" s="895">
        <v>6.19</v>
      </c>
      <c r="H276" s="647">
        <f t="shared" si="2"/>
        <v>6.0238095238095237</v>
      </c>
      <c r="I276" s="398"/>
    </row>
    <row r="277" spans="2:9" ht="21.75" customHeight="1" thickBot="1" x14ac:dyDescent="0.3">
      <c r="B277" s="894" t="s">
        <v>810</v>
      </c>
      <c r="C277" s="894"/>
      <c r="D277" s="895">
        <v>5.7727272727272725</v>
      </c>
      <c r="E277" s="895"/>
      <c r="F277" s="895">
        <v>5.8181818181818183</v>
      </c>
      <c r="G277" s="895">
        <v>5.78</v>
      </c>
      <c r="H277" s="647">
        <f t="shared" si="2"/>
        <v>5.795454545454545</v>
      </c>
      <c r="I277" s="398"/>
    </row>
    <row r="278" spans="2:9" ht="15.75" thickBot="1" x14ac:dyDescent="0.3">
      <c r="B278" s="894" t="s">
        <v>811</v>
      </c>
      <c r="C278" s="894"/>
      <c r="D278" s="895">
        <v>5.875</v>
      </c>
      <c r="E278" s="895"/>
      <c r="F278" s="895">
        <v>5.6875</v>
      </c>
      <c r="G278" s="895">
        <v>6.27</v>
      </c>
      <c r="H278" s="647">
        <f t="shared" si="2"/>
        <v>5.78125</v>
      </c>
      <c r="I278" s="398"/>
    </row>
    <row r="279" spans="2:9" ht="15.75" thickBot="1" x14ac:dyDescent="0.3">
      <c r="B279" s="894" t="s">
        <v>812</v>
      </c>
      <c r="C279" s="894"/>
      <c r="D279" s="895">
        <v>5.1304347826086953</v>
      </c>
      <c r="E279" s="895"/>
      <c r="F279" s="895">
        <v>5.1304347826086953</v>
      </c>
      <c r="G279" s="895">
        <v>4.76</v>
      </c>
      <c r="H279" s="647">
        <f>AVERAGE(D279,F279)</f>
        <v>5.1304347826086953</v>
      </c>
      <c r="I279" s="398"/>
    </row>
    <row r="280" spans="2:9" ht="23.25" customHeight="1" thickBot="1" x14ac:dyDescent="0.3">
      <c r="B280" s="894" t="s">
        <v>813</v>
      </c>
      <c r="C280" s="894"/>
      <c r="D280" s="895">
        <v>6.1904761904761907</v>
      </c>
      <c r="E280" s="895"/>
      <c r="F280" s="895">
        <v>5.9047619047619051</v>
      </c>
      <c r="G280" s="895">
        <v>6.67</v>
      </c>
      <c r="H280" s="647">
        <f>AVERAGE(D280,F280)</f>
        <v>6.0476190476190474</v>
      </c>
      <c r="I280" s="398"/>
    </row>
    <row r="281" spans="2:9" x14ac:dyDescent="0.25">
      <c r="B281" s="971" t="s">
        <v>469</v>
      </c>
      <c r="C281" s="971"/>
      <c r="D281" s="976" t="s">
        <v>64</v>
      </c>
      <c r="E281" s="976"/>
      <c r="F281" s="976" t="s">
        <v>64</v>
      </c>
      <c r="G281" s="976">
        <v>5.35</v>
      </c>
      <c r="H281" s="648" t="s">
        <v>64</v>
      </c>
      <c r="I281" s="398"/>
    </row>
    <row r="282" spans="2:9" ht="20.25" customHeight="1" thickBot="1" x14ac:dyDescent="0.3">
      <c r="B282" s="973" t="s">
        <v>703</v>
      </c>
      <c r="C282" s="973"/>
      <c r="D282" s="974">
        <f>AVERAGE(D235:D281)</f>
        <v>5.670341190872537</v>
      </c>
      <c r="E282" s="974"/>
      <c r="F282" s="974">
        <f>AVERAGE(F235:F281)</f>
        <v>5.495860835875205</v>
      </c>
      <c r="G282" s="974">
        <f>AVERAGE(G235:G281)</f>
        <v>5.6053191489361716</v>
      </c>
      <c r="H282" s="605">
        <f>AVERAGE(H235:H281)</f>
        <v>5.5831010133738692</v>
      </c>
      <c r="I282" s="398"/>
    </row>
    <row r="283" spans="2:9" x14ac:dyDescent="0.25">
      <c r="B283" s="71" t="s">
        <v>832</v>
      </c>
    </row>
    <row r="284" spans="2:9" x14ac:dyDescent="0.25">
      <c r="B284" s="46" t="s">
        <v>1083</v>
      </c>
    </row>
    <row r="285" spans="2:9" s="398" customFormat="1" x14ac:dyDescent="0.25">
      <c r="B285" s="46"/>
    </row>
    <row r="286" spans="2:9" x14ac:dyDescent="0.25">
      <c r="B286" s="41"/>
    </row>
    <row r="287" spans="2:9" x14ac:dyDescent="0.25">
      <c r="B287" s="6" t="s">
        <v>1253</v>
      </c>
    </row>
    <row r="288" spans="2:9" x14ac:dyDescent="0.25">
      <c r="B288" s="975" t="s">
        <v>12</v>
      </c>
      <c r="C288" s="975"/>
      <c r="D288" s="975"/>
      <c r="E288" s="975"/>
      <c r="F288" s="975"/>
      <c r="G288" s="975"/>
      <c r="H288" s="604"/>
    </row>
    <row r="289" spans="2:8" ht="24" customHeight="1" x14ac:dyDescent="0.25">
      <c r="B289" s="941" t="s">
        <v>272</v>
      </c>
      <c r="C289" s="941"/>
      <c r="D289" s="893" t="s">
        <v>704</v>
      </c>
      <c r="E289" s="893"/>
      <c r="F289" s="893" t="s">
        <v>705</v>
      </c>
      <c r="G289" s="893"/>
      <c r="H289" s="666" t="s">
        <v>786</v>
      </c>
    </row>
    <row r="290" spans="2:8" ht="57" customHeight="1" x14ac:dyDescent="0.25">
      <c r="B290" s="893"/>
      <c r="C290" s="893"/>
      <c r="D290" s="893" t="s">
        <v>1345</v>
      </c>
      <c r="E290" s="893"/>
      <c r="F290" s="893" t="s">
        <v>1346</v>
      </c>
      <c r="G290" s="893"/>
      <c r="H290" s="667"/>
    </row>
    <row r="291" spans="2:8" ht="26.25" customHeight="1" thickBot="1" x14ac:dyDescent="0.3">
      <c r="B291" s="894" t="s">
        <v>591</v>
      </c>
      <c r="C291" s="894"/>
      <c r="D291" s="895">
        <v>4.87</v>
      </c>
      <c r="E291" s="895"/>
      <c r="F291" s="895">
        <v>5.27</v>
      </c>
      <c r="G291" s="895">
        <v>6.23</v>
      </c>
      <c r="H291" s="647">
        <f>AVERAGE(D291,F291)</f>
        <v>5.07</v>
      </c>
    </row>
    <row r="292" spans="2:8" ht="24.75" customHeight="1" thickBot="1" x14ac:dyDescent="0.3">
      <c r="B292" s="894" t="s">
        <v>594</v>
      </c>
      <c r="C292" s="894"/>
      <c r="D292" s="895">
        <v>5.6</v>
      </c>
      <c r="E292" s="895"/>
      <c r="F292" s="895">
        <v>6</v>
      </c>
      <c r="G292" s="895">
        <v>5.76</v>
      </c>
      <c r="H292" s="647">
        <f t="shared" ref="H292:H326" si="3">AVERAGE(D292,F292)</f>
        <v>5.8</v>
      </c>
    </row>
    <row r="293" spans="2:8" ht="15.75" thickBot="1" x14ac:dyDescent="0.3">
      <c r="B293" s="894" t="s">
        <v>310</v>
      </c>
      <c r="C293" s="894"/>
      <c r="D293" s="895">
        <v>5.8</v>
      </c>
      <c r="E293" s="895"/>
      <c r="F293" s="895">
        <v>5</v>
      </c>
      <c r="G293" s="895">
        <v>6.22</v>
      </c>
      <c r="H293" s="647">
        <f t="shared" si="3"/>
        <v>5.4</v>
      </c>
    </row>
    <row r="294" spans="2:8" ht="15.75" thickBot="1" x14ac:dyDescent="0.3">
      <c r="B294" s="894" t="s">
        <v>697</v>
      </c>
      <c r="C294" s="894"/>
      <c r="D294" s="895">
        <v>5.33</v>
      </c>
      <c r="E294" s="895"/>
      <c r="F294" s="895">
        <v>5.5</v>
      </c>
      <c r="G294" s="895">
        <v>5.59</v>
      </c>
      <c r="H294" s="647">
        <f t="shared" si="3"/>
        <v>5.415</v>
      </c>
    </row>
    <row r="295" spans="2:8" ht="15.75" thickBot="1" x14ac:dyDescent="0.3">
      <c r="B295" s="894" t="s">
        <v>698</v>
      </c>
      <c r="C295" s="894"/>
      <c r="D295" s="895">
        <v>6.5</v>
      </c>
      <c r="E295" s="895"/>
      <c r="F295" s="895">
        <v>6.38</v>
      </c>
      <c r="G295" s="895"/>
      <c r="H295" s="647">
        <f t="shared" si="3"/>
        <v>6.4399999999999995</v>
      </c>
    </row>
    <row r="296" spans="2:8" ht="22.5" customHeight="1" thickBot="1" x14ac:dyDescent="0.3">
      <c r="B296" s="894" t="s">
        <v>699</v>
      </c>
      <c r="C296" s="894"/>
      <c r="D296" s="895">
        <v>5.6</v>
      </c>
      <c r="E296" s="895"/>
      <c r="F296" s="895">
        <v>6.2</v>
      </c>
      <c r="G296" s="895">
        <v>6.42</v>
      </c>
      <c r="H296" s="647">
        <f t="shared" si="3"/>
        <v>5.9</v>
      </c>
    </row>
    <row r="297" spans="2:8" ht="15.75" thickBot="1" x14ac:dyDescent="0.3">
      <c r="B297" s="894" t="s">
        <v>597</v>
      </c>
      <c r="C297" s="894"/>
      <c r="D297" s="895">
        <v>3.67</v>
      </c>
      <c r="E297" s="895"/>
      <c r="F297" s="895">
        <v>3.4</v>
      </c>
      <c r="G297" s="895">
        <v>5.1100000000000003</v>
      </c>
      <c r="H297" s="647">
        <f t="shared" si="3"/>
        <v>3.5350000000000001</v>
      </c>
    </row>
    <row r="298" spans="2:8" ht="33.75" customHeight="1" thickBot="1" x14ac:dyDescent="0.3">
      <c r="B298" s="894" t="s">
        <v>598</v>
      </c>
      <c r="C298" s="894"/>
      <c r="D298" s="895">
        <v>5.2</v>
      </c>
      <c r="E298" s="895"/>
      <c r="F298" s="895">
        <v>5.56</v>
      </c>
      <c r="G298" s="895">
        <v>4.8600000000000003</v>
      </c>
      <c r="H298" s="647">
        <f t="shared" si="3"/>
        <v>5.38</v>
      </c>
    </row>
    <row r="299" spans="2:8" ht="15.75" thickBot="1" x14ac:dyDescent="0.3">
      <c r="B299" s="894" t="s">
        <v>599</v>
      </c>
      <c r="C299" s="894"/>
      <c r="D299" s="895">
        <v>5.91</v>
      </c>
      <c r="E299" s="895"/>
      <c r="F299" s="895">
        <v>6.18</v>
      </c>
      <c r="G299" s="895">
        <v>6.06</v>
      </c>
      <c r="H299" s="647">
        <f t="shared" si="3"/>
        <v>6.0449999999999999</v>
      </c>
    </row>
    <row r="300" spans="2:8" ht="24" customHeight="1" thickBot="1" x14ac:dyDescent="0.3">
      <c r="B300" s="894" t="s">
        <v>600</v>
      </c>
      <c r="C300" s="894"/>
      <c r="D300" s="895">
        <v>5.62</v>
      </c>
      <c r="E300" s="895"/>
      <c r="F300" s="895">
        <v>5.36</v>
      </c>
      <c r="G300" s="895">
        <v>5.57</v>
      </c>
      <c r="H300" s="647">
        <f t="shared" si="3"/>
        <v>5.49</v>
      </c>
    </row>
    <row r="301" spans="2:8" ht="15.75" thickBot="1" x14ac:dyDescent="0.3">
      <c r="B301" s="894" t="s">
        <v>601</v>
      </c>
      <c r="C301" s="894"/>
      <c r="D301" s="895">
        <v>4.63</v>
      </c>
      <c r="E301" s="895"/>
      <c r="F301" s="895">
        <v>4.9400000000000004</v>
      </c>
      <c r="G301" s="895">
        <v>3.85</v>
      </c>
      <c r="H301" s="647">
        <f t="shared" si="3"/>
        <v>4.7850000000000001</v>
      </c>
    </row>
    <row r="302" spans="2:8" ht="24.75" customHeight="1" thickBot="1" x14ac:dyDescent="0.3">
      <c r="B302" s="894" t="s">
        <v>602</v>
      </c>
      <c r="C302" s="894"/>
      <c r="D302" s="895">
        <v>5.95</v>
      </c>
      <c r="E302" s="895"/>
      <c r="F302" s="895">
        <v>6.32</v>
      </c>
      <c r="G302" s="895">
        <v>5.23</v>
      </c>
      <c r="H302" s="647">
        <f t="shared" si="3"/>
        <v>6.1349999999999998</v>
      </c>
    </row>
    <row r="303" spans="2:8" ht="24.75" customHeight="1" thickBot="1" x14ac:dyDescent="0.3">
      <c r="B303" s="894" t="s">
        <v>603</v>
      </c>
      <c r="C303" s="894"/>
      <c r="D303" s="895">
        <v>4.59</v>
      </c>
      <c r="E303" s="895"/>
      <c r="F303" s="895">
        <v>5.59</v>
      </c>
      <c r="G303" s="895">
        <v>5.5</v>
      </c>
      <c r="H303" s="647">
        <f t="shared" si="3"/>
        <v>5.09</v>
      </c>
    </row>
    <row r="304" spans="2:8" ht="33.75" customHeight="1" thickBot="1" x14ac:dyDescent="0.3">
      <c r="B304" s="894" t="s">
        <v>604</v>
      </c>
      <c r="C304" s="894"/>
      <c r="D304" s="895">
        <v>6.27</v>
      </c>
      <c r="E304" s="895"/>
      <c r="F304" s="895">
        <v>6.36</v>
      </c>
      <c r="G304" s="895">
        <v>5</v>
      </c>
      <c r="H304" s="647">
        <f t="shared" si="3"/>
        <v>6.3149999999999995</v>
      </c>
    </row>
    <row r="305" spans="2:8" ht="15.75" thickBot="1" x14ac:dyDescent="0.3">
      <c r="B305" s="894" t="s">
        <v>700</v>
      </c>
      <c r="C305" s="894"/>
      <c r="D305" s="895">
        <v>2.5299999999999998</v>
      </c>
      <c r="E305" s="895"/>
      <c r="F305" s="895">
        <v>2.8</v>
      </c>
      <c r="G305" s="895">
        <v>5</v>
      </c>
      <c r="H305" s="647">
        <f t="shared" si="3"/>
        <v>2.665</v>
      </c>
    </row>
    <row r="306" spans="2:8" ht="24" customHeight="1" thickBot="1" x14ac:dyDescent="0.3">
      <c r="B306" s="894" t="s">
        <v>701</v>
      </c>
      <c r="C306" s="894"/>
      <c r="D306" s="895">
        <v>6.23</v>
      </c>
      <c r="E306" s="895"/>
      <c r="F306" s="895">
        <v>6.41</v>
      </c>
      <c r="G306" s="895"/>
      <c r="H306" s="647">
        <f t="shared" si="3"/>
        <v>6.32</v>
      </c>
    </row>
    <row r="307" spans="2:8" ht="15.75" thickBot="1" x14ac:dyDescent="0.3">
      <c r="B307" s="894" t="s">
        <v>606</v>
      </c>
      <c r="C307" s="894"/>
      <c r="D307" s="895">
        <v>5.82</v>
      </c>
      <c r="E307" s="895"/>
      <c r="F307" s="895">
        <v>5.64</v>
      </c>
      <c r="G307" s="895">
        <v>4.78</v>
      </c>
      <c r="H307" s="647">
        <f t="shared" si="3"/>
        <v>5.73</v>
      </c>
    </row>
    <row r="308" spans="2:8" ht="15.75" thickBot="1" x14ac:dyDescent="0.3">
      <c r="B308" s="894" t="s">
        <v>607</v>
      </c>
      <c r="C308" s="894"/>
      <c r="D308" s="895">
        <v>5.48</v>
      </c>
      <c r="E308" s="895"/>
      <c r="F308" s="895">
        <v>5.44</v>
      </c>
      <c r="G308" s="895">
        <v>2</v>
      </c>
      <c r="H308" s="647">
        <f t="shared" si="3"/>
        <v>5.4600000000000009</v>
      </c>
    </row>
    <row r="309" spans="2:8" ht="34.5" customHeight="1" thickBot="1" x14ac:dyDescent="0.3">
      <c r="B309" s="894" t="s">
        <v>608</v>
      </c>
      <c r="C309" s="894"/>
      <c r="D309" s="895">
        <v>4.22</v>
      </c>
      <c r="E309" s="895"/>
      <c r="F309" s="895">
        <v>4.78</v>
      </c>
      <c r="G309" s="895">
        <v>6.5</v>
      </c>
      <c r="H309" s="647">
        <f t="shared" si="3"/>
        <v>4.5</v>
      </c>
    </row>
    <row r="310" spans="2:8" ht="36" customHeight="1" thickBot="1" x14ac:dyDescent="0.3">
      <c r="B310" s="894" t="s">
        <v>609</v>
      </c>
      <c r="C310" s="894"/>
      <c r="D310" s="895">
        <v>4.5</v>
      </c>
      <c r="E310" s="895"/>
      <c r="F310" s="895">
        <v>4.05</v>
      </c>
      <c r="G310" s="895">
        <v>4.8099999999999996</v>
      </c>
      <c r="H310" s="647">
        <f t="shared" si="3"/>
        <v>4.2750000000000004</v>
      </c>
    </row>
    <row r="311" spans="2:8" ht="24" customHeight="1" thickBot="1" x14ac:dyDescent="0.3">
      <c r="B311" s="894" t="s">
        <v>610</v>
      </c>
      <c r="C311" s="894"/>
      <c r="D311" s="895">
        <v>6.67</v>
      </c>
      <c r="E311" s="895"/>
      <c r="F311" s="895">
        <v>6.67</v>
      </c>
      <c r="G311" s="895">
        <v>7</v>
      </c>
      <c r="H311" s="647">
        <f t="shared" si="3"/>
        <v>6.67</v>
      </c>
    </row>
    <row r="312" spans="2:8" ht="15.75" thickBot="1" x14ac:dyDescent="0.3">
      <c r="B312" s="894" t="s">
        <v>324</v>
      </c>
      <c r="C312" s="894"/>
      <c r="D312" s="895">
        <v>5.9</v>
      </c>
      <c r="E312" s="895"/>
      <c r="F312" s="895">
        <v>5.8</v>
      </c>
      <c r="G312" s="895">
        <v>7</v>
      </c>
      <c r="H312" s="647">
        <f t="shared" si="3"/>
        <v>5.85</v>
      </c>
    </row>
    <row r="313" spans="2:8" ht="24" customHeight="1" thickBot="1" x14ac:dyDescent="0.3">
      <c r="B313" s="894" t="s">
        <v>702</v>
      </c>
      <c r="C313" s="894"/>
      <c r="D313" s="895">
        <v>6.33</v>
      </c>
      <c r="E313" s="895"/>
      <c r="F313" s="895">
        <v>6.33</v>
      </c>
      <c r="G313" s="895"/>
      <c r="H313" s="647">
        <f t="shared" si="3"/>
        <v>6.33</v>
      </c>
    </row>
    <row r="314" spans="2:8" ht="15.75" thickBot="1" x14ac:dyDescent="0.3">
      <c r="B314" s="894" t="s">
        <v>611</v>
      </c>
      <c r="C314" s="894"/>
      <c r="D314" s="895">
        <v>3.67</v>
      </c>
      <c r="E314" s="895"/>
      <c r="F314" s="895">
        <v>3.33</v>
      </c>
      <c r="G314" s="895">
        <v>3.25</v>
      </c>
      <c r="H314" s="647">
        <f t="shared" si="3"/>
        <v>3.5</v>
      </c>
    </row>
    <row r="315" spans="2:8" ht="24" customHeight="1" thickBot="1" x14ac:dyDescent="0.3">
      <c r="B315" s="894" t="s">
        <v>612</v>
      </c>
      <c r="C315" s="894"/>
      <c r="D315" s="895">
        <v>6.2</v>
      </c>
      <c r="E315" s="895"/>
      <c r="F315" s="895">
        <v>6.2</v>
      </c>
      <c r="G315" s="895">
        <v>7</v>
      </c>
      <c r="H315" s="647">
        <f t="shared" si="3"/>
        <v>6.2</v>
      </c>
    </row>
    <row r="316" spans="2:8" ht="15.75" thickBot="1" x14ac:dyDescent="0.3">
      <c r="B316" s="894" t="s">
        <v>333</v>
      </c>
      <c r="C316" s="894"/>
      <c r="D316" s="895">
        <v>5.83</v>
      </c>
      <c r="E316" s="895"/>
      <c r="F316" s="895">
        <v>5.83</v>
      </c>
      <c r="G316" s="895">
        <v>6.75</v>
      </c>
      <c r="H316" s="647">
        <f t="shared" si="3"/>
        <v>5.83</v>
      </c>
    </row>
    <row r="317" spans="2:8" ht="24" customHeight="1" thickBot="1" x14ac:dyDescent="0.3">
      <c r="B317" s="894" t="s">
        <v>613</v>
      </c>
      <c r="C317" s="894"/>
      <c r="D317" s="895">
        <v>3.36</v>
      </c>
      <c r="E317" s="895"/>
      <c r="F317" s="895">
        <v>3.27</v>
      </c>
      <c r="G317" s="895">
        <v>2.8</v>
      </c>
      <c r="H317" s="647">
        <f t="shared" si="3"/>
        <v>3.3149999999999999</v>
      </c>
    </row>
    <row r="318" spans="2:8" ht="24" customHeight="1" thickBot="1" x14ac:dyDescent="0.3">
      <c r="B318" s="894" t="s">
        <v>341</v>
      </c>
      <c r="C318" s="894"/>
      <c r="D318" s="895">
        <v>2.9</v>
      </c>
      <c r="E318" s="895"/>
      <c r="F318" s="895">
        <v>2.8</v>
      </c>
      <c r="G318" s="895">
        <v>6.33</v>
      </c>
      <c r="H318" s="647">
        <f t="shared" si="3"/>
        <v>2.8499999999999996</v>
      </c>
    </row>
    <row r="319" spans="2:8" ht="15.75" thickBot="1" x14ac:dyDescent="0.3">
      <c r="B319" s="894" t="s">
        <v>343</v>
      </c>
      <c r="C319" s="894"/>
      <c r="D319" s="895">
        <v>3.5</v>
      </c>
      <c r="E319" s="895"/>
      <c r="F319" s="895">
        <v>3.5</v>
      </c>
      <c r="G319" s="895">
        <v>6.5</v>
      </c>
      <c r="H319" s="647">
        <f t="shared" si="3"/>
        <v>3.5</v>
      </c>
    </row>
    <row r="320" spans="2:8" ht="36" customHeight="1" thickBot="1" x14ac:dyDescent="0.3">
      <c r="B320" s="894" t="s">
        <v>614</v>
      </c>
      <c r="C320" s="894"/>
      <c r="D320" s="895">
        <v>5.6</v>
      </c>
      <c r="E320" s="895"/>
      <c r="F320" s="895">
        <v>5.5</v>
      </c>
      <c r="G320" s="895">
        <v>6.17</v>
      </c>
      <c r="H320" s="647">
        <f t="shared" si="3"/>
        <v>5.55</v>
      </c>
    </row>
    <row r="321" spans="2:9" ht="15.75" thickBot="1" x14ac:dyDescent="0.3">
      <c r="B321" s="894" t="s">
        <v>615</v>
      </c>
      <c r="C321" s="894"/>
      <c r="D321" s="895">
        <v>6.66</v>
      </c>
      <c r="E321" s="895"/>
      <c r="F321" s="895">
        <v>6.73</v>
      </c>
      <c r="G321" s="895">
        <v>6.45</v>
      </c>
      <c r="H321" s="647">
        <f t="shared" si="3"/>
        <v>6.6950000000000003</v>
      </c>
    </row>
    <row r="322" spans="2:9" ht="24" customHeight="1" thickBot="1" x14ac:dyDescent="0.3">
      <c r="B322" s="894" t="s">
        <v>337</v>
      </c>
      <c r="C322" s="894"/>
      <c r="D322" s="895">
        <v>5.9</v>
      </c>
      <c r="E322" s="895"/>
      <c r="F322" s="895">
        <v>5.7</v>
      </c>
      <c r="G322" s="895">
        <v>3.9</v>
      </c>
      <c r="H322" s="647">
        <f t="shared" si="3"/>
        <v>5.8000000000000007</v>
      </c>
    </row>
    <row r="323" spans="2:9" ht="15.75" thickBot="1" x14ac:dyDescent="0.3">
      <c r="B323" s="894" t="s">
        <v>346</v>
      </c>
      <c r="C323" s="894"/>
      <c r="D323" s="895">
        <v>6.56</v>
      </c>
      <c r="E323" s="895"/>
      <c r="F323" s="895">
        <v>6.75</v>
      </c>
      <c r="G323" s="895">
        <v>6.44</v>
      </c>
      <c r="H323" s="647">
        <f t="shared" si="3"/>
        <v>6.6549999999999994</v>
      </c>
    </row>
    <row r="324" spans="2:9" ht="36.75" customHeight="1" thickBot="1" x14ac:dyDescent="0.3">
      <c r="B324" s="894" t="s">
        <v>616</v>
      </c>
      <c r="C324" s="894"/>
      <c r="D324" s="895">
        <v>6.11</v>
      </c>
      <c r="E324" s="895"/>
      <c r="F324" s="895">
        <v>6.56</v>
      </c>
      <c r="G324" s="895">
        <v>5.8</v>
      </c>
      <c r="H324" s="647">
        <f t="shared" si="3"/>
        <v>6.335</v>
      </c>
    </row>
    <row r="325" spans="2:9" ht="24" customHeight="1" thickBot="1" x14ac:dyDescent="0.3">
      <c r="B325" s="894" t="s">
        <v>617</v>
      </c>
      <c r="C325" s="894"/>
      <c r="D325" s="895">
        <v>5.82</v>
      </c>
      <c r="E325" s="895"/>
      <c r="F325" s="895">
        <v>5.87</v>
      </c>
      <c r="G325" s="895">
        <v>5.29</v>
      </c>
      <c r="H325" s="647">
        <f t="shared" si="3"/>
        <v>5.8450000000000006</v>
      </c>
    </row>
    <row r="326" spans="2:9" ht="36" customHeight="1" thickBot="1" x14ac:dyDescent="0.3">
      <c r="B326" s="894" t="s">
        <v>618</v>
      </c>
      <c r="C326" s="894"/>
      <c r="D326" s="895">
        <v>6.5</v>
      </c>
      <c r="E326" s="895"/>
      <c r="F326" s="895">
        <v>6.67</v>
      </c>
      <c r="G326" s="895">
        <v>5.75</v>
      </c>
      <c r="H326" s="647">
        <f t="shared" si="3"/>
        <v>6.585</v>
      </c>
    </row>
    <row r="327" spans="2:9" ht="26.25" customHeight="1" x14ac:dyDescent="0.25">
      <c r="B327" s="971" t="s">
        <v>619</v>
      </c>
      <c r="C327" s="971"/>
      <c r="D327" s="976">
        <v>6.4</v>
      </c>
      <c r="E327" s="976"/>
      <c r="F327" s="976">
        <v>6.6</v>
      </c>
      <c r="G327" s="976">
        <v>6.38</v>
      </c>
      <c r="H327" s="648">
        <f>AVERAGE(D327,F327)</f>
        <v>6.5</v>
      </c>
    </row>
    <row r="328" spans="2:9" ht="21.75" customHeight="1" thickBot="1" x14ac:dyDescent="0.3">
      <c r="B328" s="973" t="s">
        <v>703</v>
      </c>
      <c r="C328" s="973"/>
      <c r="D328" s="974">
        <f>AVERAGE(D291:D327)</f>
        <v>5.3575675675675685</v>
      </c>
      <c r="E328" s="974"/>
      <c r="F328" s="974">
        <f>AVERAGE(F291:F327)</f>
        <v>5.4402702702702701</v>
      </c>
      <c r="G328" s="974">
        <f t="shared" ref="G328" si="4">AVERAGE(G291:G327)</f>
        <v>5.5088235294117647</v>
      </c>
      <c r="H328" s="605">
        <f>AVERAGE(H291:H327)</f>
        <v>5.3989189189189206</v>
      </c>
    </row>
    <row r="330" spans="2:9" ht="15" customHeight="1" x14ac:dyDescent="0.25">
      <c r="B330" s="975" t="s">
        <v>13</v>
      </c>
      <c r="C330" s="975"/>
      <c r="D330" s="975"/>
      <c r="E330" s="975"/>
      <c r="F330" s="975"/>
      <c r="G330" s="975"/>
      <c r="H330" s="604"/>
    </row>
    <row r="331" spans="2:9" ht="21" customHeight="1" x14ac:dyDescent="0.25">
      <c r="B331" s="941" t="s">
        <v>272</v>
      </c>
      <c r="C331" s="941"/>
      <c r="D331" s="893" t="s">
        <v>704</v>
      </c>
      <c r="E331" s="893"/>
      <c r="F331" s="893" t="s">
        <v>705</v>
      </c>
      <c r="G331" s="893"/>
      <c r="H331" s="666" t="s">
        <v>786</v>
      </c>
      <c r="I331" s="398"/>
    </row>
    <row r="332" spans="2:9" ht="49.5" customHeight="1" x14ac:dyDescent="0.25">
      <c r="B332" s="893"/>
      <c r="C332" s="893"/>
      <c r="D332" s="893" t="s">
        <v>1345</v>
      </c>
      <c r="E332" s="893"/>
      <c r="F332" s="893" t="s">
        <v>1346</v>
      </c>
      <c r="G332" s="893"/>
      <c r="H332" s="667"/>
      <c r="I332" s="398"/>
    </row>
    <row r="333" spans="2:9" ht="27" customHeight="1" thickBot="1" x14ac:dyDescent="0.3">
      <c r="B333" s="894" t="s">
        <v>787</v>
      </c>
      <c r="C333" s="894"/>
      <c r="D333" s="965">
        <v>6.15</v>
      </c>
      <c r="E333" s="965"/>
      <c r="F333" s="965">
        <v>6.38</v>
      </c>
      <c r="G333" s="965"/>
      <c r="H333" s="647">
        <f>AVERAGE(D333,F333)</f>
        <v>6.2650000000000006</v>
      </c>
      <c r="I333" s="398"/>
    </row>
    <row r="334" spans="2:9" ht="24" customHeight="1" thickBot="1" x14ac:dyDescent="0.3">
      <c r="B334" s="894" t="s">
        <v>405</v>
      </c>
      <c r="C334" s="894"/>
      <c r="D334" s="970">
        <v>6.39</v>
      </c>
      <c r="E334" s="970"/>
      <c r="F334" s="970">
        <v>6.37</v>
      </c>
      <c r="G334" s="970"/>
      <c r="H334" s="647">
        <f t="shared" ref="H334:H377" si="5">AVERAGE(D334,F334)</f>
        <v>6.38</v>
      </c>
      <c r="I334" s="398"/>
    </row>
    <row r="335" spans="2:9" ht="15.75" thickBot="1" x14ac:dyDescent="0.3">
      <c r="B335" s="894" t="s">
        <v>788</v>
      </c>
      <c r="C335" s="894"/>
      <c r="D335" s="970">
        <v>6.11</v>
      </c>
      <c r="E335" s="970"/>
      <c r="F335" s="970">
        <v>6.16</v>
      </c>
      <c r="G335" s="970"/>
      <c r="H335" s="647">
        <f t="shared" si="5"/>
        <v>6.1349999999999998</v>
      </c>
      <c r="I335" s="398"/>
    </row>
    <row r="336" spans="2:9" ht="15.75" thickBot="1" x14ac:dyDescent="0.3">
      <c r="B336" s="894" t="s">
        <v>387</v>
      </c>
      <c r="C336" s="894"/>
      <c r="D336" s="970">
        <v>5.59</v>
      </c>
      <c r="E336" s="970"/>
      <c r="F336" s="970">
        <v>5.32</v>
      </c>
      <c r="G336" s="970"/>
      <c r="H336" s="647">
        <f t="shared" si="5"/>
        <v>5.4550000000000001</v>
      </c>
      <c r="I336" s="398"/>
    </row>
    <row r="337" spans="2:9" ht="15.75" thickBot="1" x14ac:dyDescent="0.3">
      <c r="B337" s="894" t="s">
        <v>393</v>
      </c>
      <c r="C337" s="894"/>
      <c r="D337" s="970">
        <v>5.95</v>
      </c>
      <c r="E337" s="970"/>
      <c r="F337" s="970">
        <v>6.01</v>
      </c>
      <c r="G337" s="970"/>
      <c r="H337" s="647">
        <f t="shared" si="5"/>
        <v>5.98</v>
      </c>
      <c r="I337" s="398"/>
    </row>
    <row r="338" spans="2:9" ht="23.25" customHeight="1" thickBot="1" x14ac:dyDescent="0.3">
      <c r="B338" s="894" t="s">
        <v>789</v>
      </c>
      <c r="C338" s="894"/>
      <c r="D338" s="970">
        <v>5.92</v>
      </c>
      <c r="E338" s="970"/>
      <c r="F338" s="970">
        <v>5.79</v>
      </c>
      <c r="G338" s="970"/>
      <c r="H338" s="647">
        <f t="shared" si="5"/>
        <v>5.8550000000000004</v>
      </c>
      <c r="I338" s="398"/>
    </row>
    <row r="339" spans="2:9" ht="24" customHeight="1" thickBot="1" x14ac:dyDescent="0.3">
      <c r="B339" s="894" t="s">
        <v>790</v>
      </c>
      <c r="C339" s="894"/>
      <c r="D339" s="970">
        <v>5.88</v>
      </c>
      <c r="E339" s="970"/>
      <c r="F339" s="970">
        <v>5.77</v>
      </c>
      <c r="G339" s="970"/>
      <c r="H339" s="647">
        <f t="shared" si="5"/>
        <v>5.8249999999999993</v>
      </c>
      <c r="I339" s="398"/>
    </row>
    <row r="340" spans="2:9" ht="15.75" thickBot="1" x14ac:dyDescent="0.3">
      <c r="B340" s="894" t="s">
        <v>395</v>
      </c>
      <c r="C340" s="894"/>
      <c r="D340" s="970">
        <v>5.13</v>
      </c>
      <c r="E340" s="970"/>
      <c r="F340" s="970">
        <v>5.73</v>
      </c>
      <c r="G340" s="970"/>
      <c r="H340" s="647">
        <f t="shared" si="5"/>
        <v>5.43</v>
      </c>
      <c r="I340" s="398"/>
    </row>
    <row r="341" spans="2:9" ht="23.25" customHeight="1" thickBot="1" x14ac:dyDescent="0.3">
      <c r="B341" s="894" t="s">
        <v>791</v>
      </c>
      <c r="C341" s="894"/>
      <c r="D341" s="970">
        <v>6.01</v>
      </c>
      <c r="E341" s="970"/>
      <c r="F341" s="970">
        <v>6.17</v>
      </c>
      <c r="G341" s="970"/>
      <c r="H341" s="647">
        <f t="shared" si="5"/>
        <v>6.09</v>
      </c>
      <c r="I341" s="398"/>
    </row>
    <row r="342" spans="2:9" ht="15.75" thickBot="1" x14ac:dyDescent="0.3">
      <c r="B342" s="894" t="s">
        <v>410</v>
      </c>
      <c r="C342" s="894"/>
      <c r="D342" s="970">
        <v>6.3</v>
      </c>
      <c r="E342" s="970"/>
      <c r="F342" s="970">
        <v>6.32</v>
      </c>
      <c r="G342" s="970"/>
      <c r="H342" s="647">
        <f t="shared" si="5"/>
        <v>6.3100000000000005</v>
      </c>
      <c r="I342" s="398"/>
    </row>
    <row r="343" spans="2:9" ht="15.75" thickBot="1" x14ac:dyDescent="0.3">
      <c r="B343" s="894" t="s">
        <v>419</v>
      </c>
      <c r="C343" s="894"/>
      <c r="D343" s="970">
        <v>5.65</v>
      </c>
      <c r="E343" s="970"/>
      <c r="F343" s="970">
        <v>5.43</v>
      </c>
      <c r="G343" s="970"/>
      <c r="H343" s="647">
        <f t="shared" si="5"/>
        <v>5.54</v>
      </c>
      <c r="I343" s="398"/>
    </row>
    <row r="344" spans="2:9" ht="15.75" thickBot="1" x14ac:dyDescent="0.3">
      <c r="B344" s="894" t="s">
        <v>423</v>
      </c>
      <c r="C344" s="894"/>
      <c r="D344" s="970">
        <v>6.56</v>
      </c>
      <c r="E344" s="970"/>
      <c r="F344" s="970">
        <v>6.45</v>
      </c>
      <c r="G344" s="970"/>
      <c r="H344" s="647">
        <f t="shared" si="5"/>
        <v>6.5049999999999999</v>
      </c>
      <c r="I344" s="398"/>
    </row>
    <row r="345" spans="2:9" ht="15.75" thickBot="1" x14ac:dyDescent="0.3">
      <c r="B345" s="894" t="s">
        <v>412</v>
      </c>
      <c r="C345" s="894"/>
      <c r="D345" s="970">
        <v>6</v>
      </c>
      <c r="E345" s="970"/>
      <c r="F345" s="970">
        <v>6.44</v>
      </c>
      <c r="G345" s="970"/>
      <c r="H345" s="647">
        <f t="shared" si="5"/>
        <v>6.2200000000000006</v>
      </c>
      <c r="I345" s="398"/>
    </row>
    <row r="346" spans="2:9" ht="24.75" customHeight="1" thickBot="1" x14ac:dyDescent="0.3">
      <c r="B346" s="894" t="s">
        <v>421</v>
      </c>
      <c r="C346" s="894"/>
      <c r="D346" s="970">
        <v>5</v>
      </c>
      <c r="E346" s="970"/>
      <c r="F346" s="970">
        <v>5.0999999999999996</v>
      </c>
      <c r="G346" s="970"/>
      <c r="H346" s="647">
        <f t="shared" si="5"/>
        <v>5.05</v>
      </c>
      <c r="I346" s="398"/>
    </row>
    <row r="347" spans="2:9" ht="15.75" thickBot="1" x14ac:dyDescent="0.3">
      <c r="B347" s="894" t="s">
        <v>425</v>
      </c>
      <c r="C347" s="894"/>
      <c r="D347" s="970">
        <v>6.8</v>
      </c>
      <c r="E347" s="970"/>
      <c r="F347" s="970">
        <v>6.78</v>
      </c>
      <c r="G347" s="970"/>
      <c r="H347" s="647">
        <f t="shared" si="5"/>
        <v>6.79</v>
      </c>
      <c r="I347" s="398"/>
    </row>
    <row r="348" spans="2:9" ht="15.75" thickBot="1" x14ac:dyDescent="0.3">
      <c r="B348" s="894" t="s">
        <v>792</v>
      </c>
      <c r="C348" s="894"/>
      <c r="D348" s="970">
        <v>6.25</v>
      </c>
      <c r="E348" s="970"/>
      <c r="F348" s="970">
        <v>6.3</v>
      </c>
      <c r="G348" s="970"/>
      <c r="H348" s="647">
        <f t="shared" si="5"/>
        <v>6.2750000000000004</v>
      </c>
      <c r="I348" s="398"/>
    </row>
    <row r="349" spans="2:9" ht="15.75" thickBot="1" x14ac:dyDescent="0.3">
      <c r="B349" s="894" t="s">
        <v>429</v>
      </c>
      <c r="C349" s="894"/>
      <c r="D349" s="970">
        <v>6.27</v>
      </c>
      <c r="E349" s="970"/>
      <c r="F349" s="970">
        <v>5.87</v>
      </c>
      <c r="G349" s="970"/>
      <c r="H349" s="647">
        <f t="shared" si="5"/>
        <v>6.07</v>
      </c>
      <c r="I349" s="398"/>
    </row>
    <row r="350" spans="2:9" ht="15.75" thickBot="1" x14ac:dyDescent="0.3">
      <c r="B350" s="894" t="s">
        <v>793</v>
      </c>
      <c r="C350" s="894"/>
      <c r="D350" s="970">
        <v>5.58</v>
      </c>
      <c r="E350" s="970"/>
      <c r="F350" s="970">
        <v>5.66</v>
      </c>
      <c r="G350" s="970"/>
      <c r="H350" s="647">
        <f t="shared" si="5"/>
        <v>5.62</v>
      </c>
      <c r="I350" s="398"/>
    </row>
    <row r="351" spans="2:9" ht="33.75" customHeight="1" thickBot="1" x14ac:dyDescent="0.3">
      <c r="B351" s="894" t="s">
        <v>794</v>
      </c>
      <c r="C351" s="894"/>
      <c r="D351" s="970">
        <v>6.8</v>
      </c>
      <c r="E351" s="970"/>
      <c r="F351" s="970">
        <v>6.97</v>
      </c>
      <c r="G351" s="970"/>
      <c r="H351" s="647">
        <f t="shared" si="5"/>
        <v>6.8849999999999998</v>
      </c>
      <c r="I351" s="398"/>
    </row>
    <row r="352" spans="2:9" ht="15.75" thickBot="1" x14ac:dyDescent="0.3">
      <c r="B352" s="894" t="s">
        <v>795</v>
      </c>
      <c r="C352" s="894"/>
      <c r="D352" s="970">
        <v>6.51</v>
      </c>
      <c r="E352" s="970"/>
      <c r="F352" s="970">
        <v>6.41</v>
      </c>
      <c r="G352" s="970"/>
      <c r="H352" s="647">
        <f t="shared" si="5"/>
        <v>6.46</v>
      </c>
      <c r="I352" s="398"/>
    </row>
    <row r="353" spans="2:9" ht="15.75" thickBot="1" x14ac:dyDescent="0.3">
      <c r="B353" s="894" t="s">
        <v>796</v>
      </c>
      <c r="C353" s="894"/>
      <c r="D353" s="970">
        <v>2.69</v>
      </c>
      <c r="E353" s="970"/>
      <c r="F353" s="970">
        <v>3.31</v>
      </c>
      <c r="G353" s="970"/>
      <c r="H353" s="647">
        <f t="shared" si="5"/>
        <v>3</v>
      </c>
      <c r="I353" s="398"/>
    </row>
    <row r="354" spans="2:9" ht="26.25" customHeight="1" thickBot="1" x14ac:dyDescent="0.3">
      <c r="B354" s="894" t="s">
        <v>797</v>
      </c>
      <c r="C354" s="894"/>
      <c r="D354" s="970">
        <v>6.58</v>
      </c>
      <c r="E354" s="970"/>
      <c r="F354" s="970">
        <v>6.54</v>
      </c>
      <c r="G354" s="970"/>
      <c r="H354" s="647">
        <f t="shared" si="5"/>
        <v>6.5600000000000005</v>
      </c>
      <c r="I354" s="398"/>
    </row>
    <row r="355" spans="2:9" ht="35.25" customHeight="1" thickBot="1" x14ac:dyDescent="0.3">
      <c r="B355" s="894" t="s">
        <v>798</v>
      </c>
      <c r="C355" s="894"/>
      <c r="D355" s="970">
        <v>6.78</v>
      </c>
      <c r="E355" s="970"/>
      <c r="F355" s="970">
        <v>6.75</v>
      </c>
      <c r="G355" s="970"/>
      <c r="H355" s="647">
        <f t="shared" si="5"/>
        <v>6.7650000000000006</v>
      </c>
      <c r="I355" s="398"/>
    </row>
    <row r="356" spans="2:9" ht="15.75" thickBot="1" x14ac:dyDescent="0.3">
      <c r="B356" s="894" t="s">
        <v>449</v>
      </c>
      <c r="C356" s="894"/>
      <c r="D356" s="970">
        <v>1.75</v>
      </c>
      <c r="E356" s="970"/>
      <c r="F356" s="970">
        <v>1.75</v>
      </c>
      <c r="G356" s="970"/>
      <c r="H356" s="647">
        <f t="shared" si="5"/>
        <v>1.75</v>
      </c>
      <c r="I356" s="398"/>
    </row>
    <row r="357" spans="2:9" ht="25.5" customHeight="1" thickBot="1" x14ac:dyDescent="0.3">
      <c r="B357" s="894" t="s">
        <v>430</v>
      </c>
      <c r="C357" s="894"/>
      <c r="D357" s="970">
        <v>4</v>
      </c>
      <c r="E357" s="970"/>
      <c r="F357" s="970">
        <v>4.38</v>
      </c>
      <c r="G357" s="970"/>
      <c r="H357" s="647">
        <f t="shared" si="5"/>
        <v>4.1899999999999995</v>
      </c>
      <c r="I357" s="398"/>
    </row>
    <row r="358" spans="2:9" ht="24" customHeight="1" thickBot="1" x14ac:dyDescent="0.3">
      <c r="B358" s="894" t="s">
        <v>799</v>
      </c>
      <c r="C358" s="894"/>
      <c r="D358" s="970">
        <v>6.75</v>
      </c>
      <c r="E358" s="970"/>
      <c r="F358" s="970">
        <v>6.5</v>
      </c>
      <c r="G358" s="970"/>
      <c r="H358" s="647">
        <f t="shared" si="5"/>
        <v>6.625</v>
      </c>
      <c r="I358" s="398"/>
    </row>
    <row r="359" spans="2:9" ht="25.5" customHeight="1" thickBot="1" x14ac:dyDescent="0.3">
      <c r="B359" s="894" t="s">
        <v>800</v>
      </c>
      <c r="C359" s="894"/>
      <c r="D359" s="970">
        <v>6.38</v>
      </c>
      <c r="E359" s="970"/>
      <c r="F359" s="970">
        <v>6.63</v>
      </c>
      <c r="G359" s="970"/>
      <c r="H359" s="647">
        <f t="shared" si="5"/>
        <v>6.5049999999999999</v>
      </c>
      <c r="I359" s="398"/>
    </row>
    <row r="360" spans="2:9" ht="15.75" thickBot="1" x14ac:dyDescent="0.3">
      <c r="B360" s="894" t="s">
        <v>438</v>
      </c>
      <c r="C360" s="894"/>
      <c r="D360" s="970">
        <v>5.75</v>
      </c>
      <c r="E360" s="970"/>
      <c r="F360" s="970">
        <v>5.68</v>
      </c>
      <c r="G360" s="970"/>
      <c r="H360" s="647">
        <f t="shared" si="5"/>
        <v>5.7149999999999999</v>
      </c>
      <c r="I360" s="398"/>
    </row>
    <row r="361" spans="2:9" ht="15.75" thickBot="1" x14ac:dyDescent="0.3">
      <c r="B361" s="894" t="s">
        <v>445</v>
      </c>
      <c r="C361" s="894"/>
      <c r="D361" s="970">
        <v>5.54</v>
      </c>
      <c r="E361" s="970"/>
      <c r="F361" s="970">
        <v>5.6</v>
      </c>
      <c r="G361" s="970"/>
      <c r="H361" s="647">
        <f t="shared" si="5"/>
        <v>5.57</v>
      </c>
      <c r="I361" s="398"/>
    </row>
    <row r="362" spans="2:9" ht="15.75" thickBot="1" x14ac:dyDescent="0.3">
      <c r="B362" s="894" t="s">
        <v>801</v>
      </c>
      <c r="C362" s="894"/>
      <c r="D362" s="970">
        <v>5.85</v>
      </c>
      <c r="E362" s="970"/>
      <c r="F362" s="970">
        <v>6.34</v>
      </c>
      <c r="G362" s="970"/>
      <c r="H362" s="647">
        <f t="shared" si="5"/>
        <v>6.0949999999999998</v>
      </c>
      <c r="I362" s="398"/>
    </row>
    <row r="363" spans="2:9" ht="15.75" thickBot="1" x14ac:dyDescent="0.3">
      <c r="B363" s="894" t="s">
        <v>439</v>
      </c>
      <c r="C363" s="894"/>
      <c r="D363" s="970">
        <v>6.29</v>
      </c>
      <c r="E363" s="970"/>
      <c r="F363" s="970">
        <v>6.63</v>
      </c>
      <c r="G363" s="970"/>
      <c r="H363" s="647">
        <f t="shared" si="5"/>
        <v>6.46</v>
      </c>
      <c r="I363" s="398"/>
    </row>
    <row r="364" spans="2:9" ht="23.25" customHeight="1" thickBot="1" x14ac:dyDescent="0.3">
      <c r="B364" s="894" t="s">
        <v>802</v>
      </c>
      <c r="C364" s="894"/>
      <c r="D364" s="970">
        <v>4.17</v>
      </c>
      <c r="E364" s="970"/>
      <c r="F364" s="970">
        <v>6.25</v>
      </c>
      <c r="G364" s="970"/>
      <c r="H364" s="647">
        <f t="shared" si="5"/>
        <v>5.21</v>
      </c>
      <c r="I364" s="398"/>
    </row>
    <row r="365" spans="2:9" ht="33.75" customHeight="1" thickBot="1" x14ac:dyDescent="0.3">
      <c r="B365" s="894" t="s">
        <v>803</v>
      </c>
      <c r="C365" s="894"/>
      <c r="D365" s="970">
        <v>6.21</v>
      </c>
      <c r="E365" s="970"/>
      <c r="F365" s="970">
        <v>6.37</v>
      </c>
      <c r="G365" s="970"/>
      <c r="H365" s="647">
        <f t="shared" si="5"/>
        <v>6.29</v>
      </c>
      <c r="I365" s="398"/>
    </row>
    <row r="366" spans="2:9" ht="15.75" thickBot="1" x14ac:dyDescent="0.3">
      <c r="B366" s="894" t="s">
        <v>804</v>
      </c>
      <c r="C366" s="894"/>
      <c r="D366" s="970" t="s">
        <v>64</v>
      </c>
      <c r="E366" s="970"/>
      <c r="F366" s="970" t="s">
        <v>64</v>
      </c>
      <c r="G366" s="970"/>
      <c r="H366" s="647" t="s">
        <v>64</v>
      </c>
      <c r="I366" s="398"/>
    </row>
    <row r="367" spans="2:9" ht="15.75" thickBot="1" x14ac:dyDescent="0.3">
      <c r="B367" s="894" t="s">
        <v>434</v>
      </c>
      <c r="C367" s="894"/>
      <c r="D367" s="970">
        <v>6.67</v>
      </c>
      <c r="E367" s="970"/>
      <c r="F367" s="970">
        <v>6.75</v>
      </c>
      <c r="G367" s="970"/>
      <c r="H367" s="647">
        <f t="shared" si="5"/>
        <v>6.71</v>
      </c>
      <c r="I367" s="398"/>
    </row>
    <row r="368" spans="2:9" ht="27" customHeight="1" thickBot="1" x14ac:dyDescent="0.3">
      <c r="B368" s="894" t="s">
        <v>442</v>
      </c>
      <c r="C368" s="894"/>
      <c r="D368" s="970">
        <v>6.95</v>
      </c>
      <c r="E368" s="970"/>
      <c r="F368" s="970">
        <v>6.89</v>
      </c>
      <c r="G368" s="970"/>
      <c r="H368" s="647">
        <f t="shared" si="5"/>
        <v>6.92</v>
      </c>
      <c r="I368" s="398"/>
    </row>
    <row r="369" spans="2:9" ht="34.5" customHeight="1" thickBot="1" x14ac:dyDescent="0.3">
      <c r="B369" s="894" t="s">
        <v>805</v>
      </c>
      <c r="C369" s="894"/>
      <c r="D369" s="970">
        <v>6.4</v>
      </c>
      <c r="E369" s="970"/>
      <c r="F369" s="970">
        <v>6.8</v>
      </c>
      <c r="G369" s="970"/>
      <c r="H369" s="647">
        <f t="shared" si="5"/>
        <v>6.6</v>
      </c>
      <c r="I369" s="398"/>
    </row>
    <row r="370" spans="2:9" ht="26.25" customHeight="1" thickBot="1" x14ac:dyDescent="0.3">
      <c r="B370" s="894" t="s">
        <v>806</v>
      </c>
      <c r="C370" s="894"/>
      <c r="D370" s="970" t="s">
        <v>64</v>
      </c>
      <c r="E370" s="970"/>
      <c r="F370" s="970" t="s">
        <v>64</v>
      </c>
      <c r="G370" s="970"/>
      <c r="H370" s="647" t="s">
        <v>64</v>
      </c>
      <c r="I370" s="398"/>
    </row>
    <row r="371" spans="2:9" ht="15.75" thickBot="1" x14ac:dyDescent="0.3">
      <c r="B371" s="894" t="s">
        <v>807</v>
      </c>
      <c r="C371" s="894"/>
      <c r="D371" s="970">
        <v>3.55</v>
      </c>
      <c r="E371" s="970"/>
      <c r="F371" s="970">
        <v>3.18</v>
      </c>
      <c r="G371" s="970"/>
      <c r="H371" s="647">
        <f t="shared" si="5"/>
        <v>3.3650000000000002</v>
      </c>
      <c r="I371" s="398"/>
    </row>
    <row r="372" spans="2:9" ht="34.5" customHeight="1" thickBot="1" x14ac:dyDescent="0.3">
      <c r="B372" s="894" t="s">
        <v>808</v>
      </c>
      <c r="C372" s="894"/>
      <c r="D372" s="970">
        <v>6.94</v>
      </c>
      <c r="E372" s="970"/>
      <c r="F372" s="970">
        <v>6.83</v>
      </c>
      <c r="G372" s="970"/>
      <c r="H372" s="647">
        <f t="shared" si="5"/>
        <v>6.8849999999999998</v>
      </c>
      <c r="I372" s="398"/>
    </row>
    <row r="373" spans="2:9" ht="15.75" thickBot="1" x14ac:dyDescent="0.3">
      <c r="B373" s="894" t="s">
        <v>809</v>
      </c>
      <c r="C373" s="894"/>
      <c r="D373" s="970">
        <v>6.21</v>
      </c>
      <c r="E373" s="970"/>
      <c r="F373" s="970">
        <v>6.32</v>
      </c>
      <c r="G373" s="970"/>
      <c r="H373" s="647">
        <f t="shared" si="5"/>
        <v>6.2650000000000006</v>
      </c>
      <c r="I373" s="398"/>
    </row>
    <row r="374" spans="2:9" ht="15.75" thickBot="1" x14ac:dyDescent="0.3">
      <c r="B374" s="894" t="s">
        <v>466</v>
      </c>
      <c r="C374" s="894"/>
      <c r="D374" s="970">
        <v>6.38</v>
      </c>
      <c r="E374" s="970"/>
      <c r="F374" s="970">
        <v>6.49</v>
      </c>
      <c r="G374" s="970"/>
      <c r="H374" s="647">
        <f t="shared" si="5"/>
        <v>6.4350000000000005</v>
      </c>
      <c r="I374" s="398"/>
    </row>
    <row r="375" spans="2:9" ht="24" customHeight="1" thickBot="1" x14ac:dyDescent="0.3">
      <c r="B375" s="894" t="s">
        <v>810</v>
      </c>
      <c r="C375" s="894"/>
      <c r="D375" s="970">
        <v>6.33</v>
      </c>
      <c r="E375" s="970"/>
      <c r="F375" s="970">
        <v>6.39</v>
      </c>
      <c r="G375" s="970"/>
      <c r="H375" s="647">
        <f t="shared" si="5"/>
        <v>6.3599999999999994</v>
      </c>
      <c r="I375" s="398"/>
    </row>
    <row r="376" spans="2:9" ht="15.75" thickBot="1" x14ac:dyDescent="0.3">
      <c r="B376" s="894" t="s">
        <v>811</v>
      </c>
      <c r="C376" s="894"/>
      <c r="D376" s="970">
        <v>6.43</v>
      </c>
      <c r="E376" s="970"/>
      <c r="F376" s="970">
        <v>5.93</v>
      </c>
      <c r="G376" s="970"/>
      <c r="H376" s="647">
        <f t="shared" si="5"/>
        <v>6.18</v>
      </c>
      <c r="I376" s="398"/>
    </row>
    <row r="377" spans="2:9" ht="15.75" thickBot="1" x14ac:dyDescent="0.3">
      <c r="B377" s="894" t="s">
        <v>812</v>
      </c>
      <c r="C377" s="894"/>
      <c r="D377" s="970">
        <v>5.53</v>
      </c>
      <c r="E377" s="970"/>
      <c r="F377" s="970">
        <v>5.43</v>
      </c>
      <c r="G377" s="970"/>
      <c r="H377" s="647">
        <f t="shared" si="5"/>
        <v>5.48</v>
      </c>
      <c r="I377" s="398"/>
    </row>
    <row r="378" spans="2:9" ht="25.5" customHeight="1" thickBot="1" x14ac:dyDescent="0.3">
      <c r="B378" s="894" t="s">
        <v>813</v>
      </c>
      <c r="C378" s="894"/>
      <c r="D378" s="970" t="s">
        <v>64</v>
      </c>
      <c r="E378" s="970"/>
      <c r="F378" s="970" t="s">
        <v>64</v>
      </c>
      <c r="G378" s="970"/>
      <c r="H378" s="647" t="s">
        <v>64</v>
      </c>
      <c r="I378" s="398"/>
    </row>
    <row r="379" spans="2:9" x14ac:dyDescent="0.25">
      <c r="B379" s="971" t="s">
        <v>469</v>
      </c>
      <c r="C379" s="971"/>
      <c r="D379" s="972">
        <v>2.8</v>
      </c>
      <c r="E379" s="972"/>
      <c r="F379" s="972">
        <v>4.2</v>
      </c>
      <c r="G379" s="972"/>
      <c r="H379" s="648" t="s">
        <v>64</v>
      </c>
      <c r="I379" s="398"/>
    </row>
    <row r="380" spans="2:9" ht="15.75" thickBot="1" x14ac:dyDescent="0.3">
      <c r="B380" s="973" t="s">
        <v>703</v>
      </c>
      <c r="C380" s="973"/>
      <c r="D380" s="974">
        <f>AVERAGE(D333:D379)</f>
        <v>5.7677272727272726</v>
      </c>
      <c r="E380" s="974"/>
      <c r="F380" s="974">
        <f>AVERAGE(F333:F379)</f>
        <v>5.8947727272727271</v>
      </c>
      <c r="G380" s="974" t="e">
        <f>AVERAGE(G333:G379)</f>
        <v>#DIV/0!</v>
      </c>
      <c r="H380" s="605">
        <f>AVERAGE(H333:H379)</f>
        <v>5.8854651162790699</v>
      </c>
      <c r="I380" s="398"/>
    </row>
    <row r="381" spans="2:9" x14ac:dyDescent="0.25">
      <c r="B381" s="71" t="s">
        <v>832</v>
      </c>
    </row>
    <row r="382" spans="2:9" x14ac:dyDescent="0.25">
      <c r="B382" s="46" t="s">
        <v>1084</v>
      </c>
    </row>
    <row r="383" spans="2:9" s="398" customFormat="1" x14ac:dyDescent="0.25">
      <c r="B383" s="46"/>
    </row>
    <row r="384" spans="2:9" s="398" customFormat="1" x14ac:dyDescent="0.25">
      <c r="B384" s="46"/>
    </row>
    <row r="385" spans="1:11" s="86" customFormat="1" x14ac:dyDescent="0.25">
      <c r="A385"/>
      <c r="B385" s="88" t="s">
        <v>1254</v>
      </c>
      <c r="C385" s="51"/>
      <c r="D385" s="51"/>
      <c r="E385" s="51"/>
      <c r="F385" s="62"/>
      <c r="G385" s="51"/>
      <c r="H385" s="51"/>
    </row>
    <row r="386" spans="1:11" s="86" customFormat="1" x14ac:dyDescent="0.25">
      <c r="B386" s="897" t="s">
        <v>2</v>
      </c>
      <c r="C386" s="897"/>
      <c r="D386" s="603" t="s">
        <v>521</v>
      </c>
      <c r="E386" s="603" t="s">
        <v>382</v>
      </c>
      <c r="F386" s="603" t="s">
        <v>519</v>
      </c>
    </row>
    <row r="387" spans="1:11" s="86" customFormat="1" ht="15.75" customHeight="1" thickBot="1" x14ac:dyDescent="0.3">
      <c r="A387" s="887"/>
      <c r="B387" s="898" t="s">
        <v>12</v>
      </c>
      <c r="C387" s="898"/>
      <c r="D387" s="611">
        <v>16</v>
      </c>
      <c r="E387" s="611">
        <v>7</v>
      </c>
      <c r="F387" s="596">
        <f>E387/D387</f>
        <v>0.4375</v>
      </c>
    </row>
    <row r="388" spans="1:11" s="86" customFormat="1" ht="15.75" customHeight="1" thickBot="1" x14ac:dyDescent="0.3">
      <c r="A388" s="887"/>
      <c r="B388" s="899" t="s">
        <v>13</v>
      </c>
      <c r="C388" s="899"/>
      <c r="D388" s="646">
        <v>33</v>
      </c>
      <c r="E388" s="646">
        <v>8</v>
      </c>
      <c r="F388" s="597">
        <f>E388/D388</f>
        <v>0.24242424242424243</v>
      </c>
    </row>
    <row r="389" spans="1:11" s="86" customFormat="1" x14ac:dyDescent="0.25">
      <c r="B389" s="41"/>
      <c r="F389" s="398"/>
    </row>
    <row r="390" spans="1:11" s="86" customFormat="1" ht="15" customHeight="1" x14ac:dyDescent="0.25">
      <c r="G390" s="893" t="s">
        <v>520</v>
      </c>
      <c r="H390" s="893"/>
      <c r="I390" s="893"/>
      <c r="J390" s="893"/>
      <c r="K390" s="539"/>
    </row>
    <row r="391" spans="1:11" s="86" customFormat="1" ht="15" customHeight="1" x14ac:dyDescent="0.25">
      <c r="B391" s="893" t="s">
        <v>507</v>
      </c>
      <c r="C391" s="893"/>
      <c r="D391" s="893" t="s">
        <v>37</v>
      </c>
      <c r="E391" s="893"/>
      <c r="F391" s="893"/>
      <c r="G391" s="893" t="s">
        <v>1347</v>
      </c>
      <c r="H391" s="893"/>
      <c r="I391" s="893" t="s">
        <v>579</v>
      </c>
      <c r="J391" s="893"/>
    </row>
    <row r="392" spans="1:11" s="86" customFormat="1" ht="38.25" customHeight="1" thickBot="1" x14ac:dyDescent="0.3">
      <c r="B392" s="966" t="s">
        <v>926</v>
      </c>
      <c r="C392" s="966"/>
      <c r="D392" s="903" t="s">
        <v>1100</v>
      </c>
      <c r="E392" s="903"/>
      <c r="F392" s="903"/>
      <c r="G392" s="965">
        <v>7.9</v>
      </c>
      <c r="H392" s="965"/>
      <c r="I392" s="965">
        <v>7.6</v>
      </c>
      <c r="J392" s="965"/>
    </row>
    <row r="393" spans="1:11" s="86" customFormat="1" ht="44.25" customHeight="1" thickBot="1" x14ac:dyDescent="0.3">
      <c r="B393" s="967"/>
      <c r="C393" s="967"/>
      <c r="D393" s="903" t="s">
        <v>1101</v>
      </c>
      <c r="E393" s="903"/>
      <c r="F393" s="903"/>
      <c r="G393" s="895">
        <v>6.7</v>
      </c>
      <c r="H393" s="895"/>
      <c r="I393" s="895">
        <v>6.2</v>
      </c>
      <c r="J393" s="895"/>
    </row>
    <row r="394" spans="1:11" s="86" customFormat="1" ht="42" customHeight="1" thickBot="1" x14ac:dyDescent="0.3">
      <c r="B394" s="967"/>
      <c r="C394" s="967"/>
      <c r="D394" s="903" t="s">
        <v>1085</v>
      </c>
      <c r="E394" s="903"/>
      <c r="F394" s="903"/>
      <c r="G394" s="895">
        <v>8.1</v>
      </c>
      <c r="H394" s="895"/>
      <c r="I394" s="895">
        <v>5.7</v>
      </c>
      <c r="J394" s="895"/>
    </row>
    <row r="395" spans="1:11" s="86" customFormat="1" ht="24.75" customHeight="1" thickBot="1" x14ac:dyDescent="0.3">
      <c r="B395" s="967"/>
      <c r="C395" s="967"/>
      <c r="D395" s="903" t="s">
        <v>1086</v>
      </c>
      <c r="E395" s="903"/>
      <c r="F395" s="903"/>
      <c r="G395" s="895">
        <v>8.3000000000000007</v>
      </c>
      <c r="H395" s="895"/>
      <c r="I395" s="895">
        <v>6.9</v>
      </c>
      <c r="J395" s="895"/>
    </row>
    <row r="396" spans="1:11" s="86" customFormat="1" ht="37.5" customHeight="1" thickBot="1" x14ac:dyDescent="0.3">
      <c r="B396" s="967"/>
      <c r="C396" s="967"/>
      <c r="D396" s="903" t="s">
        <v>1087</v>
      </c>
      <c r="E396" s="903"/>
      <c r="F396" s="903"/>
      <c r="G396" s="895">
        <v>6.9</v>
      </c>
      <c r="H396" s="895"/>
      <c r="I396" s="895">
        <v>6.7</v>
      </c>
      <c r="J396" s="895"/>
    </row>
    <row r="397" spans="1:11" s="86" customFormat="1" ht="36" customHeight="1" thickBot="1" x14ac:dyDescent="0.3">
      <c r="B397" s="967"/>
      <c r="C397" s="967"/>
      <c r="D397" s="903" t="s">
        <v>1088</v>
      </c>
      <c r="E397" s="903"/>
      <c r="F397" s="903"/>
      <c r="G397" s="895">
        <v>6.7</v>
      </c>
      <c r="H397" s="895"/>
      <c r="I397" s="895">
        <v>6.7</v>
      </c>
      <c r="J397" s="895"/>
    </row>
    <row r="398" spans="1:11" s="86" customFormat="1" ht="31.5" customHeight="1" thickBot="1" x14ac:dyDescent="0.3">
      <c r="B398" s="967"/>
      <c r="C398" s="967"/>
      <c r="D398" s="903" t="s">
        <v>1089</v>
      </c>
      <c r="E398" s="903"/>
      <c r="F398" s="903"/>
      <c r="G398" s="895">
        <v>8.8000000000000007</v>
      </c>
      <c r="H398" s="895"/>
      <c r="I398" s="895">
        <v>8.1999999999999993</v>
      </c>
      <c r="J398" s="895"/>
    </row>
    <row r="399" spans="1:11" s="86" customFormat="1" ht="35.25" customHeight="1" thickBot="1" x14ac:dyDescent="0.3">
      <c r="B399" s="967"/>
      <c r="C399" s="967"/>
      <c r="D399" s="903" t="s">
        <v>1090</v>
      </c>
      <c r="E399" s="903"/>
      <c r="F399" s="903"/>
      <c r="G399" s="895">
        <v>6</v>
      </c>
      <c r="H399" s="895"/>
      <c r="I399" s="895">
        <v>5.6</v>
      </c>
      <c r="J399" s="895"/>
    </row>
    <row r="400" spans="1:11" s="86" customFormat="1" ht="35.25" customHeight="1" thickBot="1" x14ac:dyDescent="0.3">
      <c r="B400" s="968"/>
      <c r="C400" s="968"/>
      <c r="D400" s="964" t="s">
        <v>1091</v>
      </c>
      <c r="E400" s="964"/>
      <c r="F400" s="964"/>
      <c r="G400" s="961">
        <v>6.5</v>
      </c>
      <c r="H400" s="961"/>
      <c r="I400" s="961">
        <v>6.5</v>
      </c>
      <c r="J400" s="961"/>
    </row>
    <row r="401" spans="2:10" s="86" customFormat="1" ht="43.5" customHeight="1" thickBot="1" x14ac:dyDescent="0.3">
      <c r="B401" s="969" t="s">
        <v>929</v>
      </c>
      <c r="C401" s="969"/>
      <c r="D401" s="963" t="s">
        <v>1092</v>
      </c>
      <c r="E401" s="963"/>
      <c r="F401" s="963"/>
      <c r="G401" s="962">
        <v>8.3000000000000007</v>
      </c>
      <c r="H401" s="962"/>
      <c r="I401" s="962">
        <v>7.6</v>
      </c>
      <c r="J401" s="962"/>
    </row>
    <row r="402" spans="2:10" s="86" customFormat="1" ht="42.75" customHeight="1" thickBot="1" x14ac:dyDescent="0.3">
      <c r="B402" s="967"/>
      <c r="C402" s="967"/>
      <c r="D402" s="903" t="s">
        <v>1093</v>
      </c>
      <c r="E402" s="903"/>
      <c r="F402" s="903"/>
      <c r="G402" s="895">
        <v>6.7</v>
      </c>
      <c r="H402" s="895"/>
      <c r="I402" s="895">
        <v>7.4</v>
      </c>
      <c r="J402" s="895"/>
    </row>
    <row r="403" spans="2:10" s="86" customFormat="1" ht="42.75" customHeight="1" thickBot="1" x14ac:dyDescent="0.3">
      <c r="B403" s="967"/>
      <c r="C403" s="967"/>
      <c r="D403" s="903" t="s">
        <v>927</v>
      </c>
      <c r="E403" s="903"/>
      <c r="F403" s="903"/>
      <c r="G403" s="895">
        <v>8.3000000000000007</v>
      </c>
      <c r="H403" s="895"/>
      <c r="I403" s="895">
        <v>6</v>
      </c>
      <c r="J403" s="895"/>
    </row>
    <row r="404" spans="2:10" s="86" customFormat="1" ht="79.5" customHeight="1" thickBot="1" x14ac:dyDescent="0.3">
      <c r="B404" s="967"/>
      <c r="C404" s="967"/>
      <c r="D404" s="903" t="s">
        <v>928</v>
      </c>
      <c r="E404" s="903"/>
      <c r="F404" s="903"/>
      <c r="G404" s="895">
        <v>8.8000000000000007</v>
      </c>
      <c r="H404" s="895"/>
      <c r="I404" s="895">
        <v>6.5</v>
      </c>
      <c r="J404" s="895"/>
    </row>
    <row r="405" spans="2:10" s="86" customFormat="1" ht="42" customHeight="1" thickBot="1" x14ac:dyDescent="0.3">
      <c r="B405" s="967"/>
      <c r="C405" s="967"/>
      <c r="D405" s="903" t="s">
        <v>1102</v>
      </c>
      <c r="E405" s="903"/>
      <c r="F405" s="903"/>
      <c r="G405" s="895">
        <v>8.6999999999999993</v>
      </c>
      <c r="H405" s="895"/>
      <c r="I405" s="895">
        <v>7.5</v>
      </c>
      <c r="J405" s="895"/>
    </row>
    <row r="406" spans="2:10" s="86" customFormat="1" ht="48" customHeight="1" thickBot="1" x14ac:dyDescent="0.3">
      <c r="B406" s="968"/>
      <c r="C406" s="968"/>
      <c r="D406" s="964" t="s">
        <v>1094</v>
      </c>
      <c r="E406" s="964"/>
      <c r="F406" s="964"/>
      <c r="G406" s="961">
        <v>8.1</v>
      </c>
      <c r="H406" s="961"/>
      <c r="I406" s="961">
        <v>6.1</v>
      </c>
      <c r="J406" s="961"/>
    </row>
    <row r="407" spans="2:10" s="86" customFormat="1" ht="45" customHeight="1" thickBot="1" x14ac:dyDescent="0.3">
      <c r="B407" s="996" t="s">
        <v>930</v>
      </c>
      <c r="C407" s="996"/>
      <c r="D407" s="963" t="s">
        <v>1095</v>
      </c>
      <c r="E407" s="963"/>
      <c r="F407" s="963"/>
      <c r="G407" s="962">
        <v>6.9</v>
      </c>
      <c r="H407" s="962"/>
      <c r="I407" s="962">
        <v>5.3</v>
      </c>
      <c r="J407" s="962"/>
    </row>
    <row r="408" spans="2:10" s="86" customFormat="1" ht="45.75" customHeight="1" thickBot="1" x14ac:dyDescent="0.3">
      <c r="B408" s="997"/>
      <c r="C408" s="997"/>
      <c r="D408" s="903" t="s">
        <v>1096</v>
      </c>
      <c r="E408" s="903"/>
      <c r="F408" s="903"/>
      <c r="G408" s="895">
        <v>6.1</v>
      </c>
      <c r="H408" s="895"/>
      <c r="I408" s="895">
        <v>5.3</v>
      </c>
      <c r="J408" s="895"/>
    </row>
    <row r="409" spans="2:10" s="86" customFormat="1" ht="63" customHeight="1" thickBot="1" x14ac:dyDescent="0.3">
      <c r="B409" s="997"/>
      <c r="C409" s="997"/>
      <c r="D409" s="903" t="s">
        <v>1097</v>
      </c>
      <c r="E409" s="903"/>
      <c r="F409" s="903"/>
      <c r="G409" s="895">
        <v>7.7</v>
      </c>
      <c r="H409" s="895"/>
      <c r="I409" s="895">
        <v>6.5</v>
      </c>
      <c r="J409" s="895"/>
    </row>
    <row r="410" spans="2:10" s="86" customFormat="1" ht="35.25" customHeight="1" thickBot="1" x14ac:dyDescent="0.3">
      <c r="B410" s="997"/>
      <c r="C410" s="997"/>
      <c r="D410" s="903" t="s">
        <v>1098</v>
      </c>
      <c r="E410" s="903"/>
      <c r="F410" s="903"/>
      <c r="G410" s="895">
        <v>7.3</v>
      </c>
      <c r="H410" s="895"/>
      <c r="I410" s="895">
        <v>5.7</v>
      </c>
      <c r="J410" s="895"/>
    </row>
    <row r="411" spans="2:10" s="86" customFormat="1" ht="32.25" customHeight="1" thickBot="1" x14ac:dyDescent="0.3">
      <c r="B411" s="998"/>
      <c r="C411" s="998"/>
      <c r="D411" s="964" t="s">
        <v>1099</v>
      </c>
      <c r="E411" s="964"/>
      <c r="F411" s="964"/>
      <c r="G411" s="961">
        <v>6.6</v>
      </c>
      <c r="H411" s="961"/>
      <c r="I411" s="961">
        <v>6.5</v>
      </c>
      <c r="J411" s="961"/>
    </row>
    <row r="412" spans="2:10" s="86" customFormat="1" ht="15.75" thickBot="1" x14ac:dyDescent="0.3">
      <c r="B412" s="607" t="s">
        <v>931</v>
      </c>
      <c r="C412" s="607"/>
      <c r="D412" s="607"/>
      <c r="E412" s="607"/>
      <c r="F412" s="607"/>
      <c r="G412" s="960">
        <v>1</v>
      </c>
      <c r="H412" s="960"/>
      <c r="I412" s="960">
        <v>1</v>
      </c>
      <c r="J412" s="960"/>
    </row>
    <row r="413" spans="2:10" s="86" customFormat="1" ht="15.75" thickBot="1" x14ac:dyDescent="0.3">
      <c r="B413" s="608" t="s">
        <v>932</v>
      </c>
      <c r="C413" s="608"/>
      <c r="D413" s="608"/>
      <c r="E413" s="608"/>
      <c r="F413" s="608"/>
      <c r="G413" s="959">
        <v>0.69199999999999995</v>
      </c>
      <c r="H413" s="959"/>
      <c r="I413" s="959">
        <v>0.61099999999999999</v>
      </c>
      <c r="J413" s="959"/>
    </row>
    <row r="414" spans="2:10" s="86" customFormat="1" x14ac:dyDescent="0.25">
      <c r="B414" s="94" t="s">
        <v>832</v>
      </c>
      <c r="C414" s="94"/>
      <c r="J414" s="398"/>
    </row>
    <row r="415" spans="2:10" s="86" customFormat="1" x14ac:dyDescent="0.25">
      <c r="B415" s="94" t="s">
        <v>1103</v>
      </c>
      <c r="C415" s="94"/>
    </row>
    <row r="416" spans="2:10" s="398" customFormat="1" x14ac:dyDescent="0.25">
      <c r="B416" s="46"/>
    </row>
    <row r="417" spans="2:12" s="398" customFormat="1" x14ac:dyDescent="0.25">
      <c r="B417" s="46"/>
    </row>
    <row r="418" spans="2:12" x14ac:dyDescent="0.25">
      <c r="B418" s="88" t="s">
        <v>1255</v>
      </c>
      <c r="C418" s="51"/>
      <c r="D418" s="51"/>
      <c r="E418" s="86"/>
    </row>
    <row r="419" spans="2:12" x14ac:dyDescent="0.25">
      <c r="B419" s="704" t="s">
        <v>2</v>
      </c>
      <c r="C419" s="704"/>
      <c r="D419" s="602" t="s">
        <v>521</v>
      </c>
      <c r="E419" s="602" t="s">
        <v>382</v>
      </c>
      <c r="F419" s="602" t="s">
        <v>519</v>
      </c>
    </row>
    <row r="420" spans="2:12" ht="15.75" customHeight="1" thickBot="1" x14ac:dyDescent="0.3">
      <c r="B420" s="944" t="s">
        <v>12</v>
      </c>
      <c r="C420" s="944"/>
      <c r="D420" s="622">
        <v>28</v>
      </c>
      <c r="E420" s="622">
        <v>14</v>
      </c>
      <c r="F420" s="649">
        <f>E420/D420</f>
        <v>0.5</v>
      </c>
      <c r="H420" s="398"/>
      <c r="I420" s="398"/>
      <c r="J420" s="398"/>
      <c r="K420" s="398"/>
      <c r="L420" s="398"/>
    </row>
    <row r="421" spans="2:12" ht="15.75" customHeight="1" thickBot="1" x14ac:dyDescent="0.3">
      <c r="B421" s="945" t="s">
        <v>13</v>
      </c>
      <c r="C421" s="945"/>
      <c r="D421" s="646">
        <v>34</v>
      </c>
      <c r="E421" s="646">
        <v>20</v>
      </c>
      <c r="F421" s="597">
        <f>E421/D421</f>
        <v>0.58823529411764708</v>
      </c>
    </row>
    <row r="422" spans="2:12" x14ac:dyDescent="0.25">
      <c r="B422" s="41"/>
    </row>
    <row r="423" spans="2:12" ht="15" customHeight="1" x14ac:dyDescent="0.25">
      <c r="B423" s="544"/>
      <c r="C423" s="398"/>
      <c r="D423" s="893" t="s">
        <v>520</v>
      </c>
      <c r="E423" s="893"/>
      <c r="F423" s="893"/>
      <c r="G423" s="893"/>
    </row>
    <row r="424" spans="2:12" ht="22.5" customHeight="1" x14ac:dyDescent="0.25">
      <c r="B424" s="893" t="s">
        <v>1348</v>
      </c>
      <c r="C424" s="893"/>
      <c r="D424" s="893" t="s">
        <v>12</v>
      </c>
      <c r="E424" s="893"/>
      <c r="F424" s="893" t="s">
        <v>13</v>
      </c>
      <c r="G424" s="893" t="s">
        <v>840</v>
      </c>
      <c r="H424" s="398"/>
      <c r="I424" s="398"/>
      <c r="J424" s="398"/>
      <c r="K424" s="398"/>
      <c r="L424" s="398"/>
    </row>
    <row r="425" spans="2:12" ht="27.75" customHeight="1" thickBot="1" x14ac:dyDescent="0.3">
      <c r="B425" s="894" t="s">
        <v>814</v>
      </c>
      <c r="C425" s="894"/>
      <c r="D425" s="895">
        <v>5</v>
      </c>
      <c r="E425" s="895"/>
      <c r="F425" s="895">
        <v>4.9000000000000004</v>
      </c>
      <c r="G425" s="895">
        <f t="shared" ref="G425:G440" si="6">(F425*10)/7</f>
        <v>7</v>
      </c>
      <c r="H425" s="398"/>
      <c r="I425" s="398"/>
      <c r="J425" s="398"/>
      <c r="K425" s="398"/>
      <c r="L425" s="398"/>
    </row>
    <row r="426" spans="2:12" ht="37.5" customHeight="1" thickBot="1" x14ac:dyDescent="0.3">
      <c r="B426" s="894" t="s">
        <v>815</v>
      </c>
      <c r="C426" s="894"/>
      <c r="D426" s="895">
        <v>5.86</v>
      </c>
      <c r="E426" s="895"/>
      <c r="F426" s="895">
        <v>5.7</v>
      </c>
      <c r="G426" s="895">
        <f t="shared" si="6"/>
        <v>8.1428571428571423</v>
      </c>
      <c r="H426" s="398"/>
      <c r="I426" s="398"/>
      <c r="J426" s="398"/>
      <c r="K426" s="398"/>
      <c r="L426" s="398"/>
    </row>
    <row r="427" spans="2:12" ht="33" customHeight="1" thickBot="1" x14ac:dyDescent="0.3">
      <c r="B427" s="894" t="s">
        <v>816</v>
      </c>
      <c r="C427" s="894"/>
      <c r="D427" s="895">
        <v>5.68</v>
      </c>
      <c r="E427" s="895"/>
      <c r="F427" s="895">
        <v>5.7</v>
      </c>
      <c r="G427" s="895">
        <f t="shared" si="6"/>
        <v>8.1428571428571423</v>
      </c>
      <c r="H427" s="398"/>
      <c r="I427" s="398"/>
      <c r="J427" s="398"/>
      <c r="K427" s="398"/>
      <c r="L427" s="398"/>
    </row>
    <row r="428" spans="2:12" ht="48" customHeight="1" thickBot="1" x14ac:dyDescent="0.3">
      <c r="B428" s="894" t="s">
        <v>817</v>
      </c>
      <c r="C428" s="894"/>
      <c r="D428" s="895">
        <v>6.21</v>
      </c>
      <c r="E428" s="895"/>
      <c r="F428" s="895">
        <v>6.2</v>
      </c>
      <c r="G428" s="895">
        <f t="shared" si="6"/>
        <v>8.8571428571428577</v>
      </c>
      <c r="H428" s="398"/>
      <c r="I428" s="398"/>
      <c r="J428" s="398"/>
      <c r="K428" s="398"/>
      <c r="L428" s="398"/>
    </row>
    <row r="429" spans="2:12" ht="27.75" customHeight="1" thickBot="1" x14ac:dyDescent="0.3">
      <c r="B429" s="894" t="s">
        <v>818</v>
      </c>
      <c r="C429" s="894"/>
      <c r="D429" s="895">
        <v>5.79</v>
      </c>
      <c r="E429" s="895"/>
      <c r="F429" s="895">
        <v>5.9</v>
      </c>
      <c r="G429" s="895">
        <f t="shared" si="6"/>
        <v>8.4285714285714288</v>
      </c>
      <c r="H429" s="398"/>
      <c r="I429" s="398"/>
      <c r="J429" s="398"/>
      <c r="K429" s="398"/>
      <c r="L429" s="398"/>
    </row>
    <row r="430" spans="2:12" ht="27" customHeight="1" thickBot="1" x14ac:dyDescent="0.3">
      <c r="B430" s="894" t="s">
        <v>819</v>
      </c>
      <c r="C430" s="894"/>
      <c r="D430" s="895">
        <v>5.57</v>
      </c>
      <c r="E430" s="895"/>
      <c r="F430" s="895">
        <v>5.9</v>
      </c>
      <c r="G430" s="895">
        <f t="shared" si="6"/>
        <v>8.4285714285714288</v>
      </c>
      <c r="H430" s="398"/>
      <c r="I430" s="398"/>
      <c r="J430" s="398"/>
      <c r="K430" s="398"/>
      <c r="L430" s="398"/>
    </row>
    <row r="431" spans="2:12" ht="23.25" customHeight="1" thickBot="1" x14ac:dyDescent="0.3">
      <c r="B431" s="894" t="s">
        <v>820</v>
      </c>
      <c r="C431" s="894"/>
      <c r="D431" s="895">
        <v>4.79</v>
      </c>
      <c r="E431" s="895"/>
      <c r="F431" s="895">
        <v>4</v>
      </c>
      <c r="G431" s="895">
        <f t="shared" si="6"/>
        <v>5.7142857142857144</v>
      </c>
      <c r="H431" s="398"/>
      <c r="I431" s="398"/>
      <c r="J431" s="398"/>
      <c r="K431" s="398"/>
      <c r="L431" s="398"/>
    </row>
    <row r="432" spans="2:12" ht="23.25" customHeight="1" thickBot="1" x14ac:dyDescent="0.3">
      <c r="B432" s="894" t="s">
        <v>821</v>
      </c>
      <c r="C432" s="894"/>
      <c r="D432" s="933">
        <v>5.14</v>
      </c>
      <c r="E432" s="933"/>
      <c r="F432" s="933">
        <v>5.2</v>
      </c>
      <c r="G432" s="933">
        <f t="shared" si="6"/>
        <v>7.4285714285714288</v>
      </c>
      <c r="H432" s="398"/>
      <c r="I432" s="398"/>
      <c r="J432" s="398"/>
      <c r="K432" s="398"/>
      <c r="L432" s="398"/>
    </row>
    <row r="433" spans="2:22" ht="46.5" customHeight="1" thickBot="1" x14ac:dyDescent="0.3">
      <c r="B433" s="894" t="s">
        <v>822</v>
      </c>
      <c r="C433" s="894"/>
      <c r="D433" s="895">
        <v>5.21</v>
      </c>
      <c r="E433" s="895"/>
      <c r="F433" s="895">
        <v>5.2</v>
      </c>
      <c r="G433" s="895">
        <f t="shared" si="6"/>
        <v>7.4285714285714288</v>
      </c>
      <c r="H433" s="398"/>
      <c r="I433" s="398"/>
      <c r="J433" s="398"/>
      <c r="K433" s="398"/>
      <c r="L433" s="398"/>
    </row>
    <row r="434" spans="2:22" ht="36" customHeight="1" thickBot="1" x14ac:dyDescent="0.3">
      <c r="B434" s="894" t="s">
        <v>823</v>
      </c>
      <c r="C434" s="894"/>
      <c r="D434" s="895">
        <v>5.71</v>
      </c>
      <c r="E434" s="895"/>
      <c r="F434" s="895">
        <v>6.2</v>
      </c>
      <c r="G434" s="895">
        <f t="shared" si="6"/>
        <v>8.8571428571428577</v>
      </c>
      <c r="H434" s="398"/>
      <c r="I434" s="398"/>
      <c r="J434" s="398"/>
      <c r="K434" s="398"/>
      <c r="L434" s="398"/>
    </row>
    <row r="435" spans="2:22" ht="27" customHeight="1" thickBot="1" x14ac:dyDescent="0.3">
      <c r="B435" s="894" t="s">
        <v>824</v>
      </c>
      <c r="C435" s="894"/>
      <c r="D435" s="895">
        <v>5.57</v>
      </c>
      <c r="E435" s="895"/>
      <c r="F435" s="895">
        <v>4.5</v>
      </c>
      <c r="G435" s="895">
        <f t="shared" si="6"/>
        <v>6.4285714285714288</v>
      </c>
      <c r="H435" s="398"/>
      <c r="I435" s="398"/>
      <c r="J435" s="398"/>
      <c r="K435" s="398"/>
      <c r="L435" s="398"/>
    </row>
    <row r="436" spans="2:22" ht="33" customHeight="1" thickBot="1" x14ac:dyDescent="0.3">
      <c r="B436" s="894" t="s">
        <v>825</v>
      </c>
      <c r="C436" s="894"/>
      <c r="D436" s="895">
        <v>5.63</v>
      </c>
      <c r="E436" s="895"/>
      <c r="F436" s="895">
        <v>6</v>
      </c>
      <c r="G436" s="895">
        <f t="shared" si="6"/>
        <v>8.5714285714285712</v>
      </c>
      <c r="H436" s="398"/>
      <c r="I436" s="398"/>
      <c r="J436" s="398"/>
      <c r="K436" s="398"/>
      <c r="L436" s="398"/>
    </row>
    <row r="437" spans="2:22" ht="37.5" customHeight="1" thickBot="1" x14ac:dyDescent="0.3">
      <c r="B437" s="894" t="s">
        <v>826</v>
      </c>
      <c r="C437" s="894"/>
      <c r="D437" s="895">
        <v>5.67</v>
      </c>
      <c r="E437" s="895"/>
      <c r="F437" s="895">
        <v>6</v>
      </c>
      <c r="G437" s="895">
        <f t="shared" si="6"/>
        <v>8.5714285714285712</v>
      </c>
      <c r="H437" s="398"/>
      <c r="I437" s="398"/>
      <c r="J437" s="398"/>
      <c r="K437" s="398"/>
      <c r="L437" s="398"/>
    </row>
    <row r="438" spans="2:22" ht="45" customHeight="1" thickBot="1" x14ac:dyDescent="0.3">
      <c r="B438" s="894" t="s">
        <v>827</v>
      </c>
      <c r="C438" s="894"/>
      <c r="D438" s="895">
        <v>5.21</v>
      </c>
      <c r="E438" s="895"/>
      <c r="F438" s="895">
        <v>4.5999999999999996</v>
      </c>
      <c r="G438" s="895">
        <f t="shared" si="6"/>
        <v>6.5714285714285712</v>
      </c>
      <c r="H438" s="398"/>
      <c r="I438" s="398"/>
      <c r="J438" s="398"/>
      <c r="K438" s="398"/>
      <c r="L438" s="398"/>
    </row>
    <row r="439" spans="2:22" ht="36" customHeight="1" thickBot="1" x14ac:dyDescent="0.3">
      <c r="B439" s="894" t="s">
        <v>828</v>
      </c>
      <c r="C439" s="894"/>
      <c r="D439" s="895">
        <v>5.57</v>
      </c>
      <c r="E439" s="895"/>
      <c r="F439" s="895">
        <v>5.9</v>
      </c>
      <c r="G439" s="895">
        <f t="shared" si="6"/>
        <v>8.4285714285714288</v>
      </c>
      <c r="H439" s="398"/>
      <c r="I439" s="398"/>
      <c r="J439" s="398"/>
      <c r="K439" s="398"/>
      <c r="L439" s="398"/>
    </row>
    <row r="440" spans="2:22" ht="23.25" customHeight="1" thickBot="1" x14ac:dyDescent="0.3">
      <c r="B440" s="894" t="s">
        <v>829</v>
      </c>
      <c r="C440" s="894"/>
      <c r="D440" s="895">
        <v>5.64</v>
      </c>
      <c r="E440" s="895"/>
      <c r="F440" s="895">
        <v>6.3</v>
      </c>
      <c r="G440" s="895">
        <f t="shared" si="6"/>
        <v>9</v>
      </c>
      <c r="H440" s="398"/>
      <c r="I440" s="398"/>
      <c r="J440" s="398"/>
      <c r="K440" s="398"/>
      <c r="L440" s="398"/>
    </row>
    <row r="441" spans="2:22" x14ac:dyDescent="0.25">
      <c r="B441" s="958" t="s">
        <v>832</v>
      </c>
      <c r="C441" s="958"/>
      <c r="G441" s="398"/>
      <c r="H441" s="398"/>
      <c r="I441" s="398"/>
      <c r="J441" s="398"/>
      <c r="K441" s="398"/>
      <c r="L441" s="398"/>
    </row>
    <row r="442" spans="2:22" x14ac:dyDescent="0.25">
      <c r="B442" s="50" t="s">
        <v>830</v>
      </c>
      <c r="C442" s="50"/>
      <c r="D442" s="50"/>
      <c r="E442" s="398"/>
      <c r="F442" s="398"/>
      <c r="G442" s="398"/>
      <c r="H442" s="398"/>
      <c r="I442" s="398"/>
      <c r="J442" s="398"/>
      <c r="K442" s="398"/>
      <c r="L442" s="398"/>
    </row>
    <row r="443" spans="2:22" s="72" customFormat="1" x14ac:dyDescent="0.25">
      <c r="B443" s="401"/>
      <c r="C443" s="85"/>
      <c r="D443" s="85"/>
    </row>
    <row r="444" spans="2:22" s="72" customFormat="1" x14ac:dyDescent="0.25">
      <c r="B444" s="401"/>
      <c r="C444" s="85"/>
      <c r="D444" s="85"/>
    </row>
    <row r="445" spans="2:22" x14ac:dyDescent="0.25">
      <c r="B445" s="51" t="s">
        <v>1256</v>
      </c>
    </row>
    <row r="446" spans="2:22" s="37" customFormat="1" ht="15" customHeight="1" x14ac:dyDescent="0.15">
      <c r="B446" s="956" t="s">
        <v>12</v>
      </c>
      <c r="C446" s="860"/>
      <c r="D446" s="860"/>
      <c r="E446" s="860"/>
      <c r="F446" s="860"/>
      <c r="G446" s="860"/>
      <c r="H446" s="860"/>
      <c r="I446" s="860"/>
      <c r="J446" s="860"/>
      <c r="K446" s="860"/>
      <c r="L446" s="860"/>
      <c r="M446" s="860"/>
      <c r="N446" s="860"/>
      <c r="O446" s="860"/>
      <c r="P446" s="860"/>
      <c r="Q446" s="860"/>
      <c r="R446" s="860"/>
      <c r="S446" s="860"/>
      <c r="T446" s="860"/>
      <c r="U446" s="860"/>
      <c r="V446" s="860"/>
    </row>
    <row r="447" spans="2:22" s="37" customFormat="1" ht="15" customHeight="1" x14ac:dyDescent="0.15">
      <c r="B447" s="666" t="s">
        <v>372</v>
      </c>
      <c r="C447" s="666" t="s">
        <v>272</v>
      </c>
      <c r="D447" s="666"/>
      <c r="E447" s="666" t="s">
        <v>580</v>
      </c>
      <c r="F447" s="666" t="s">
        <v>581</v>
      </c>
      <c r="G447" s="666" t="s">
        <v>582</v>
      </c>
      <c r="H447" s="666"/>
      <c r="I447" s="666" t="s">
        <v>583</v>
      </c>
      <c r="J447" s="666"/>
      <c r="K447" s="667" t="s">
        <v>584</v>
      </c>
      <c r="L447" s="667"/>
      <c r="M447" s="667"/>
      <c r="N447" s="667"/>
      <c r="O447" s="667"/>
      <c r="P447" s="667"/>
      <c r="Q447" s="667"/>
      <c r="R447" s="667"/>
      <c r="S447" s="667"/>
      <c r="T447" s="667"/>
      <c r="U447" s="667"/>
      <c r="V447" s="667"/>
    </row>
    <row r="448" spans="2:22" s="37" customFormat="1" ht="15" customHeight="1" x14ac:dyDescent="0.15">
      <c r="B448" s="667"/>
      <c r="C448" s="667"/>
      <c r="D448" s="667"/>
      <c r="E448" s="667"/>
      <c r="F448" s="667"/>
      <c r="G448" s="667"/>
      <c r="H448" s="667"/>
      <c r="I448" s="667"/>
      <c r="J448" s="667"/>
      <c r="K448" s="700" t="s">
        <v>585</v>
      </c>
      <c r="L448" s="700"/>
      <c r="M448" s="700" t="s">
        <v>586</v>
      </c>
      <c r="N448" s="700"/>
      <c r="O448" s="700" t="s">
        <v>587</v>
      </c>
      <c r="P448" s="700"/>
      <c r="Q448" s="700" t="s">
        <v>588</v>
      </c>
      <c r="R448" s="700"/>
      <c r="S448" s="700" t="s">
        <v>589</v>
      </c>
      <c r="T448" s="700"/>
      <c r="U448" s="700" t="s">
        <v>590</v>
      </c>
      <c r="V448" s="700"/>
    </row>
    <row r="449" spans="2:22" s="37" customFormat="1" ht="21.75" customHeight="1" thickBot="1" x14ac:dyDescent="0.2">
      <c r="B449" s="620">
        <v>37214001</v>
      </c>
      <c r="C449" s="894" t="s">
        <v>591</v>
      </c>
      <c r="D449" s="894"/>
      <c r="E449" s="621" t="s">
        <v>283</v>
      </c>
      <c r="F449" s="620" t="s">
        <v>592</v>
      </c>
      <c r="G449" s="955">
        <v>55</v>
      </c>
      <c r="H449" s="955"/>
      <c r="I449" s="955" t="s">
        <v>593</v>
      </c>
      <c r="J449" s="955"/>
      <c r="K449" s="620">
        <v>19</v>
      </c>
      <c r="L449" s="623">
        <f t="shared" ref="L449:L482" si="7">K449/$G449</f>
        <v>0.34545454545454546</v>
      </c>
      <c r="M449" s="620">
        <v>6</v>
      </c>
      <c r="N449" s="623">
        <f t="shared" ref="N449:N482" si="8">M449/$G449</f>
        <v>0.10909090909090909</v>
      </c>
      <c r="O449" s="620">
        <v>8</v>
      </c>
      <c r="P449" s="623">
        <f t="shared" ref="P449:P482" si="9">O449/$G449</f>
        <v>0.14545454545454545</v>
      </c>
      <c r="Q449" s="620">
        <v>21</v>
      </c>
      <c r="R449" s="623">
        <f t="shared" ref="R449:R482" si="10">Q449/$G449</f>
        <v>0.38181818181818183</v>
      </c>
      <c r="S449" s="620">
        <v>1</v>
      </c>
      <c r="T449" s="623">
        <f t="shared" ref="T449:T482" si="11">S449/$G449</f>
        <v>1.8181818181818181E-2</v>
      </c>
      <c r="U449" s="620">
        <f>HLOOKUP(B449,[3]Càlculs!$A$1:$AM$8,4,FALSE)</f>
        <v>0</v>
      </c>
      <c r="V449" s="623">
        <f t="shared" ref="V449:V482" si="12">U449/$G449</f>
        <v>0</v>
      </c>
    </row>
    <row r="450" spans="2:22" s="37" customFormat="1" ht="21.75" customHeight="1" thickBot="1" x14ac:dyDescent="0.2">
      <c r="B450" s="609">
        <v>37214006</v>
      </c>
      <c r="C450" s="894" t="s">
        <v>594</v>
      </c>
      <c r="D450" s="894"/>
      <c r="E450" s="610" t="s">
        <v>283</v>
      </c>
      <c r="F450" s="609" t="s">
        <v>592</v>
      </c>
      <c r="G450" s="950">
        <v>43</v>
      </c>
      <c r="H450" s="950"/>
      <c r="I450" s="950" t="s">
        <v>593</v>
      </c>
      <c r="J450" s="950"/>
      <c r="K450" s="609">
        <v>15</v>
      </c>
      <c r="L450" s="612">
        <f t="shared" si="7"/>
        <v>0.34883720930232559</v>
      </c>
      <c r="M450" s="609">
        <v>3</v>
      </c>
      <c r="N450" s="612">
        <f t="shared" si="8"/>
        <v>6.9767441860465115E-2</v>
      </c>
      <c r="O450" s="609">
        <v>24</v>
      </c>
      <c r="P450" s="612">
        <f t="shared" si="9"/>
        <v>0.55813953488372092</v>
      </c>
      <c r="Q450" s="609">
        <v>1</v>
      </c>
      <c r="R450" s="612">
        <f t="shared" si="10"/>
        <v>2.3255813953488372E-2</v>
      </c>
      <c r="S450" s="609">
        <v>0</v>
      </c>
      <c r="T450" s="612">
        <f t="shared" si="11"/>
        <v>0</v>
      </c>
      <c r="U450" s="609">
        <f>HLOOKUP(B450,[3]Càlculs!$A$1:$AM$8,4,FALSE)</f>
        <v>0</v>
      </c>
      <c r="V450" s="612">
        <f t="shared" si="12"/>
        <v>0</v>
      </c>
    </row>
    <row r="451" spans="2:22" s="37" customFormat="1" ht="21.75" customHeight="1" thickBot="1" x14ac:dyDescent="0.2">
      <c r="B451" s="609">
        <v>37214102</v>
      </c>
      <c r="C451" s="894" t="s">
        <v>310</v>
      </c>
      <c r="D451" s="894"/>
      <c r="E451" s="610" t="s">
        <v>309</v>
      </c>
      <c r="F451" s="609" t="s">
        <v>592</v>
      </c>
      <c r="G451" s="950">
        <v>42</v>
      </c>
      <c r="H451" s="950"/>
      <c r="I451" s="950" t="s">
        <v>593</v>
      </c>
      <c r="J451" s="950"/>
      <c r="K451" s="609">
        <v>13</v>
      </c>
      <c r="L451" s="612">
        <f t="shared" si="7"/>
        <v>0.30952380952380953</v>
      </c>
      <c r="M451" s="609">
        <v>1</v>
      </c>
      <c r="N451" s="612">
        <f t="shared" si="8"/>
        <v>2.3809523809523808E-2</v>
      </c>
      <c r="O451" s="609">
        <v>21</v>
      </c>
      <c r="P451" s="612">
        <f t="shared" si="9"/>
        <v>0.5</v>
      </c>
      <c r="Q451" s="609">
        <v>0</v>
      </c>
      <c r="R451" s="612">
        <f t="shared" si="10"/>
        <v>0</v>
      </c>
      <c r="S451" s="609">
        <v>7</v>
      </c>
      <c r="T451" s="612">
        <f t="shared" si="11"/>
        <v>0.16666666666666666</v>
      </c>
      <c r="U451" s="609">
        <f>HLOOKUP(B451,[3]Càlculs!$A$1:$AM$8,4,FALSE)</f>
        <v>0</v>
      </c>
      <c r="V451" s="612">
        <f t="shared" si="12"/>
        <v>0</v>
      </c>
    </row>
    <row r="452" spans="2:22" s="37" customFormat="1" ht="21.75" customHeight="1" thickBot="1" x14ac:dyDescent="0.2">
      <c r="B452" s="609">
        <v>37214106</v>
      </c>
      <c r="C452" s="894" t="s">
        <v>697</v>
      </c>
      <c r="D452" s="894"/>
      <c r="E452" s="610" t="s">
        <v>309</v>
      </c>
      <c r="F452" s="609" t="s">
        <v>592</v>
      </c>
      <c r="G452" s="950">
        <v>44</v>
      </c>
      <c r="H452" s="950"/>
      <c r="I452" s="950" t="s">
        <v>593</v>
      </c>
      <c r="J452" s="950"/>
      <c r="K452" s="609">
        <v>23</v>
      </c>
      <c r="L452" s="612">
        <f t="shared" si="7"/>
        <v>0.52272727272727271</v>
      </c>
      <c r="M452" s="609">
        <v>2</v>
      </c>
      <c r="N452" s="612">
        <f t="shared" si="8"/>
        <v>4.5454545454545456E-2</v>
      </c>
      <c r="O452" s="609">
        <v>17</v>
      </c>
      <c r="P452" s="612">
        <f t="shared" si="9"/>
        <v>0.38636363636363635</v>
      </c>
      <c r="Q452" s="609">
        <v>2</v>
      </c>
      <c r="R452" s="612">
        <f t="shared" si="10"/>
        <v>4.5454545454545456E-2</v>
      </c>
      <c r="S452" s="609">
        <v>0</v>
      </c>
      <c r="T452" s="612">
        <f t="shared" si="11"/>
        <v>0</v>
      </c>
      <c r="U452" s="609">
        <f>HLOOKUP(B452,[3]Càlculs!$A$1:$AM$8,4,FALSE)</f>
        <v>0</v>
      </c>
      <c r="V452" s="612">
        <f t="shared" si="12"/>
        <v>0</v>
      </c>
    </row>
    <row r="453" spans="2:22" s="37" customFormat="1" ht="21.75" customHeight="1" thickBot="1" x14ac:dyDescent="0.2">
      <c r="B453" s="609">
        <v>37214104</v>
      </c>
      <c r="C453" s="894" t="s">
        <v>596</v>
      </c>
      <c r="D453" s="894"/>
      <c r="E453" s="610" t="s">
        <v>309</v>
      </c>
      <c r="F453" s="609" t="s">
        <v>592</v>
      </c>
      <c r="G453" s="950">
        <v>32</v>
      </c>
      <c r="H453" s="950"/>
      <c r="I453" s="950" t="s">
        <v>593</v>
      </c>
      <c r="J453" s="950"/>
      <c r="K453" s="609">
        <v>7</v>
      </c>
      <c r="L453" s="612">
        <f t="shared" si="7"/>
        <v>0.21875</v>
      </c>
      <c r="M453" s="609">
        <v>2</v>
      </c>
      <c r="N453" s="612">
        <f t="shared" si="8"/>
        <v>6.25E-2</v>
      </c>
      <c r="O453" s="609">
        <v>20</v>
      </c>
      <c r="P453" s="612">
        <f t="shared" si="9"/>
        <v>0.625</v>
      </c>
      <c r="Q453" s="609">
        <v>3</v>
      </c>
      <c r="R453" s="612">
        <f t="shared" si="10"/>
        <v>9.375E-2</v>
      </c>
      <c r="S453" s="609">
        <v>0</v>
      </c>
      <c r="T453" s="612">
        <f t="shared" si="11"/>
        <v>0</v>
      </c>
      <c r="U453" s="609">
        <f>HLOOKUP(B453,[3]Càlculs!$A$1:$AM$8,4,FALSE)</f>
        <v>0</v>
      </c>
      <c r="V453" s="612">
        <f t="shared" si="12"/>
        <v>0</v>
      </c>
    </row>
    <row r="454" spans="2:22" s="37" customFormat="1" ht="21.75" customHeight="1" thickBot="1" x14ac:dyDescent="0.2">
      <c r="B454" s="609">
        <v>37214002</v>
      </c>
      <c r="C454" s="894" t="s">
        <v>597</v>
      </c>
      <c r="D454" s="894"/>
      <c r="E454" s="610" t="s">
        <v>283</v>
      </c>
      <c r="F454" s="609" t="s">
        <v>592</v>
      </c>
      <c r="G454" s="950">
        <v>56</v>
      </c>
      <c r="H454" s="950"/>
      <c r="I454" s="950" t="s">
        <v>593</v>
      </c>
      <c r="J454" s="950"/>
      <c r="K454" s="609">
        <v>25</v>
      </c>
      <c r="L454" s="612">
        <f t="shared" si="7"/>
        <v>0.44642857142857145</v>
      </c>
      <c r="M454" s="609">
        <v>3</v>
      </c>
      <c r="N454" s="612">
        <f t="shared" si="8"/>
        <v>5.3571428571428568E-2</v>
      </c>
      <c r="O454" s="609">
        <v>17</v>
      </c>
      <c r="P454" s="612">
        <f t="shared" si="9"/>
        <v>0.30357142857142855</v>
      </c>
      <c r="Q454" s="609">
        <v>11</v>
      </c>
      <c r="R454" s="612">
        <f t="shared" si="10"/>
        <v>0.19642857142857142</v>
      </c>
      <c r="S454" s="609">
        <v>0</v>
      </c>
      <c r="T454" s="612">
        <f t="shared" si="11"/>
        <v>0</v>
      </c>
      <c r="U454" s="609">
        <f>HLOOKUP(B454,[3]Càlculs!$A$1:$AM$8,4,FALSE)</f>
        <v>0</v>
      </c>
      <c r="V454" s="612">
        <f t="shared" si="12"/>
        <v>0</v>
      </c>
    </row>
    <row r="455" spans="2:22" s="37" customFormat="1" ht="21.75" customHeight="1" thickBot="1" x14ac:dyDescent="0.2">
      <c r="B455" s="609">
        <v>37214010</v>
      </c>
      <c r="C455" s="894" t="s">
        <v>598</v>
      </c>
      <c r="D455" s="894"/>
      <c r="E455" s="610" t="s">
        <v>283</v>
      </c>
      <c r="F455" s="609" t="s">
        <v>592</v>
      </c>
      <c r="G455" s="950">
        <v>51</v>
      </c>
      <c r="H455" s="950"/>
      <c r="I455" s="950" t="s">
        <v>593</v>
      </c>
      <c r="J455" s="950"/>
      <c r="K455" s="609">
        <v>20</v>
      </c>
      <c r="L455" s="612">
        <f t="shared" si="7"/>
        <v>0.39215686274509803</v>
      </c>
      <c r="M455" s="609">
        <v>1</v>
      </c>
      <c r="N455" s="612">
        <f t="shared" si="8"/>
        <v>1.9607843137254902E-2</v>
      </c>
      <c r="O455" s="609">
        <v>23</v>
      </c>
      <c r="P455" s="612">
        <f t="shared" si="9"/>
        <v>0.45098039215686275</v>
      </c>
      <c r="Q455" s="609">
        <v>7</v>
      </c>
      <c r="R455" s="612">
        <f t="shared" si="10"/>
        <v>0.13725490196078433</v>
      </c>
      <c r="S455" s="609">
        <v>0</v>
      </c>
      <c r="T455" s="612">
        <f t="shared" si="11"/>
        <v>0</v>
      </c>
      <c r="U455" s="609">
        <f>HLOOKUP(B455,[3]Càlculs!$A$1:$AM$8,4,FALSE)</f>
        <v>0</v>
      </c>
      <c r="V455" s="612">
        <f t="shared" si="12"/>
        <v>0</v>
      </c>
    </row>
    <row r="456" spans="2:22" s="37" customFormat="1" ht="21.75" customHeight="1" x14ac:dyDescent="0.15">
      <c r="B456" s="650">
        <v>37214101</v>
      </c>
      <c r="C456" s="953" t="s">
        <v>599</v>
      </c>
      <c r="D456" s="953"/>
      <c r="E456" s="651" t="s">
        <v>309</v>
      </c>
      <c r="F456" s="650" t="s">
        <v>592</v>
      </c>
      <c r="G456" s="954">
        <v>43</v>
      </c>
      <c r="H456" s="954"/>
      <c r="I456" s="954" t="s">
        <v>593</v>
      </c>
      <c r="J456" s="954"/>
      <c r="K456" s="650">
        <v>11</v>
      </c>
      <c r="L456" s="652">
        <f t="shared" si="7"/>
        <v>0.2558139534883721</v>
      </c>
      <c r="M456" s="650">
        <v>2</v>
      </c>
      <c r="N456" s="652">
        <f t="shared" si="8"/>
        <v>4.6511627906976744E-2</v>
      </c>
      <c r="O456" s="650">
        <v>29</v>
      </c>
      <c r="P456" s="652">
        <f t="shared" si="9"/>
        <v>0.67441860465116277</v>
      </c>
      <c r="Q456" s="650">
        <v>0</v>
      </c>
      <c r="R456" s="652">
        <f t="shared" si="10"/>
        <v>0</v>
      </c>
      <c r="S456" s="650">
        <v>0</v>
      </c>
      <c r="T456" s="652">
        <f t="shared" si="11"/>
        <v>0</v>
      </c>
      <c r="U456" s="650">
        <f>HLOOKUP(B456,[3]Càlculs!$A$1:$AM$8,4,FALSE)</f>
        <v>1</v>
      </c>
      <c r="V456" s="652">
        <f t="shared" si="12"/>
        <v>2.3255813953488372E-2</v>
      </c>
    </row>
    <row r="457" spans="2:22" s="37" customFormat="1" ht="21.75" customHeight="1" thickBot="1" x14ac:dyDescent="0.2">
      <c r="B457" s="622">
        <v>37214005</v>
      </c>
      <c r="C457" s="894" t="s">
        <v>600</v>
      </c>
      <c r="D457" s="894"/>
      <c r="E457" s="621" t="s">
        <v>283</v>
      </c>
      <c r="F457" s="622" t="s">
        <v>592</v>
      </c>
      <c r="G457" s="955">
        <v>43</v>
      </c>
      <c r="H457" s="955"/>
      <c r="I457" s="955" t="s">
        <v>593</v>
      </c>
      <c r="J457" s="955"/>
      <c r="K457" s="622">
        <v>22</v>
      </c>
      <c r="L457" s="623">
        <f t="shared" si="7"/>
        <v>0.51162790697674421</v>
      </c>
      <c r="M457" s="622">
        <v>2</v>
      </c>
      <c r="N457" s="623">
        <f t="shared" si="8"/>
        <v>4.6511627906976744E-2</v>
      </c>
      <c r="O457" s="622">
        <v>13</v>
      </c>
      <c r="P457" s="623">
        <f t="shared" si="9"/>
        <v>0.30232558139534882</v>
      </c>
      <c r="Q457" s="622">
        <v>6</v>
      </c>
      <c r="R457" s="623">
        <f t="shared" si="10"/>
        <v>0.13953488372093023</v>
      </c>
      <c r="S457" s="622">
        <v>0</v>
      </c>
      <c r="T457" s="623">
        <f t="shared" si="11"/>
        <v>0</v>
      </c>
      <c r="U457" s="622">
        <f>HLOOKUP(B457,[3]Càlculs!$A$1:$AM$8,4,FALSE)</f>
        <v>0</v>
      </c>
      <c r="V457" s="623">
        <f t="shared" si="12"/>
        <v>0</v>
      </c>
    </row>
    <row r="458" spans="2:22" s="37" customFormat="1" ht="21.75" customHeight="1" thickBot="1" x14ac:dyDescent="0.2">
      <c r="B458" s="609">
        <v>37214003</v>
      </c>
      <c r="C458" s="894" t="s">
        <v>601</v>
      </c>
      <c r="D458" s="894"/>
      <c r="E458" s="610" t="s">
        <v>283</v>
      </c>
      <c r="F458" s="609" t="s">
        <v>592</v>
      </c>
      <c r="G458" s="950">
        <v>25</v>
      </c>
      <c r="H458" s="950"/>
      <c r="I458" s="950" t="s">
        <v>593</v>
      </c>
      <c r="J458" s="950"/>
      <c r="K458" s="609">
        <v>7</v>
      </c>
      <c r="L458" s="612">
        <f t="shared" si="7"/>
        <v>0.28000000000000003</v>
      </c>
      <c r="M458" s="609">
        <v>2</v>
      </c>
      <c r="N458" s="612">
        <f t="shared" si="8"/>
        <v>0.08</v>
      </c>
      <c r="O458" s="609">
        <v>5</v>
      </c>
      <c r="P458" s="612">
        <f t="shared" si="9"/>
        <v>0.2</v>
      </c>
      <c r="Q458" s="609">
        <v>11</v>
      </c>
      <c r="R458" s="612">
        <f t="shared" si="10"/>
        <v>0.44</v>
      </c>
      <c r="S458" s="609">
        <v>0</v>
      </c>
      <c r="T458" s="612">
        <f t="shared" si="11"/>
        <v>0</v>
      </c>
      <c r="U458" s="609">
        <f>HLOOKUP(B458,[3]Càlculs!$A$1:$AM$8,4,FALSE)</f>
        <v>0</v>
      </c>
      <c r="V458" s="612">
        <f t="shared" si="12"/>
        <v>0</v>
      </c>
    </row>
    <row r="459" spans="2:22" s="37" customFormat="1" ht="21.75" customHeight="1" thickBot="1" x14ac:dyDescent="0.2">
      <c r="B459" s="609">
        <v>37214004</v>
      </c>
      <c r="C459" s="894" t="s">
        <v>602</v>
      </c>
      <c r="D459" s="894"/>
      <c r="E459" s="610" t="s">
        <v>283</v>
      </c>
      <c r="F459" s="609" t="s">
        <v>592</v>
      </c>
      <c r="G459" s="950">
        <v>28</v>
      </c>
      <c r="H459" s="950"/>
      <c r="I459" s="950" t="s">
        <v>593</v>
      </c>
      <c r="J459" s="950"/>
      <c r="K459" s="609">
        <v>6</v>
      </c>
      <c r="L459" s="612">
        <f t="shared" si="7"/>
        <v>0.21428571428571427</v>
      </c>
      <c r="M459" s="609">
        <v>3</v>
      </c>
      <c r="N459" s="612">
        <f t="shared" si="8"/>
        <v>0.10714285714285714</v>
      </c>
      <c r="O459" s="609">
        <v>18</v>
      </c>
      <c r="P459" s="612">
        <f t="shared" si="9"/>
        <v>0.6428571428571429</v>
      </c>
      <c r="Q459" s="609">
        <v>1</v>
      </c>
      <c r="R459" s="612">
        <f t="shared" si="10"/>
        <v>3.5714285714285712E-2</v>
      </c>
      <c r="S459" s="609">
        <v>0</v>
      </c>
      <c r="T459" s="612">
        <f t="shared" si="11"/>
        <v>0</v>
      </c>
      <c r="U459" s="609">
        <f>HLOOKUP(B459,[3]Càlculs!$A$1:$AM$8,4,FALSE)</f>
        <v>0</v>
      </c>
      <c r="V459" s="612">
        <f t="shared" si="12"/>
        <v>0</v>
      </c>
    </row>
    <row r="460" spans="2:22" s="37" customFormat="1" ht="21.75" customHeight="1" thickBot="1" x14ac:dyDescent="0.2">
      <c r="B460" s="609">
        <v>37214008</v>
      </c>
      <c r="C460" s="894" t="s">
        <v>603</v>
      </c>
      <c r="D460" s="894"/>
      <c r="E460" s="610" t="s">
        <v>283</v>
      </c>
      <c r="F460" s="609" t="s">
        <v>592</v>
      </c>
      <c r="G460" s="950">
        <v>26</v>
      </c>
      <c r="H460" s="950"/>
      <c r="I460" s="950" t="s">
        <v>593</v>
      </c>
      <c r="J460" s="950"/>
      <c r="K460" s="609">
        <v>8</v>
      </c>
      <c r="L460" s="612">
        <f t="shared" si="7"/>
        <v>0.30769230769230771</v>
      </c>
      <c r="M460" s="609">
        <v>0</v>
      </c>
      <c r="N460" s="612">
        <f t="shared" si="8"/>
        <v>0</v>
      </c>
      <c r="O460" s="609">
        <v>17</v>
      </c>
      <c r="P460" s="612">
        <f t="shared" si="9"/>
        <v>0.65384615384615385</v>
      </c>
      <c r="Q460" s="609">
        <v>1</v>
      </c>
      <c r="R460" s="612">
        <f t="shared" si="10"/>
        <v>3.8461538461538464E-2</v>
      </c>
      <c r="S460" s="609">
        <v>0</v>
      </c>
      <c r="T460" s="612">
        <f t="shared" si="11"/>
        <v>0</v>
      </c>
      <c r="U460" s="609">
        <f>HLOOKUP(B460,[3]Càlculs!$A$1:$AM$8,4,FALSE)</f>
        <v>0</v>
      </c>
      <c r="V460" s="612">
        <f t="shared" si="12"/>
        <v>0</v>
      </c>
    </row>
    <row r="461" spans="2:22" s="37" customFormat="1" ht="21.75" customHeight="1" thickBot="1" x14ac:dyDescent="0.2">
      <c r="B461" s="609">
        <v>37214009</v>
      </c>
      <c r="C461" s="894" t="s">
        <v>604</v>
      </c>
      <c r="D461" s="894"/>
      <c r="E461" s="610" t="s">
        <v>283</v>
      </c>
      <c r="F461" s="609" t="s">
        <v>592</v>
      </c>
      <c r="G461" s="950">
        <v>26</v>
      </c>
      <c r="H461" s="950"/>
      <c r="I461" s="950" t="s">
        <v>593</v>
      </c>
      <c r="J461" s="950"/>
      <c r="K461" s="609">
        <v>1</v>
      </c>
      <c r="L461" s="612">
        <f t="shared" si="7"/>
        <v>3.8461538461538464E-2</v>
      </c>
      <c r="M461" s="609">
        <v>1</v>
      </c>
      <c r="N461" s="612">
        <f t="shared" si="8"/>
        <v>3.8461538461538464E-2</v>
      </c>
      <c r="O461" s="609">
        <v>19</v>
      </c>
      <c r="P461" s="612">
        <f t="shared" si="9"/>
        <v>0.73076923076923073</v>
      </c>
      <c r="Q461" s="609">
        <v>1</v>
      </c>
      <c r="R461" s="612">
        <f t="shared" si="10"/>
        <v>3.8461538461538464E-2</v>
      </c>
      <c r="S461" s="609">
        <v>3</v>
      </c>
      <c r="T461" s="612">
        <f t="shared" si="11"/>
        <v>0.11538461538461539</v>
      </c>
      <c r="U461" s="609">
        <f>HLOOKUP(B461,[3]Càlculs!$A$1:$AM$8,4,FALSE)</f>
        <v>1</v>
      </c>
      <c r="V461" s="612">
        <f t="shared" si="12"/>
        <v>3.8461538461538464E-2</v>
      </c>
    </row>
    <row r="462" spans="2:22" s="37" customFormat="1" ht="21.75" customHeight="1" thickBot="1" x14ac:dyDescent="0.2">
      <c r="B462" s="609">
        <v>37214107</v>
      </c>
      <c r="C462" s="894" t="s">
        <v>605</v>
      </c>
      <c r="D462" s="894"/>
      <c r="E462" s="610" t="s">
        <v>309</v>
      </c>
      <c r="F462" s="609" t="s">
        <v>199</v>
      </c>
      <c r="G462" s="950">
        <v>25</v>
      </c>
      <c r="H462" s="950"/>
      <c r="I462" s="950" t="s">
        <v>593</v>
      </c>
      <c r="J462" s="950"/>
      <c r="K462" s="609">
        <v>4</v>
      </c>
      <c r="L462" s="612">
        <f t="shared" si="7"/>
        <v>0.16</v>
      </c>
      <c r="M462" s="609">
        <v>0</v>
      </c>
      <c r="N462" s="612">
        <f t="shared" si="8"/>
        <v>0</v>
      </c>
      <c r="O462" s="609">
        <v>20</v>
      </c>
      <c r="P462" s="612">
        <f t="shared" si="9"/>
        <v>0.8</v>
      </c>
      <c r="Q462" s="609">
        <v>1</v>
      </c>
      <c r="R462" s="612">
        <f t="shared" si="10"/>
        <v>0.04</v>
      </c>
      <c r="S462" s="609">
        <v>0</v>
      </c>
      <c r="T462" s="612">
        <f t="shared" si="11"/>
        <v>0</v>
      </c>
      <c r="U462" s="609">
        <f>HLOOKUP(B462,[3]Càlculs!$A$1:$AM$8,4,FALSE)</f>
        <v>0</v>
      </c>
      <c r="V462" s="612">
        <f t="shared" si="12"/>
        <v>0</v>
      </c>
    </row>
    <row r="463" spans="2:22" s="37" customFormat="1" ht="21.75" customHeight="1" thickBot="1" x14ac:dyDescent="0.2">
      <c r="B463" s="609">
        <v>37214105</v>
      </c>
      <c r="C463" s="894" t="s">
        <v>606</v>
      </c>
      <c r="D463" s="894"/>
      <c r="E463" s="610" t="s">
        <v>309</v>
      </c>
      <c r="F463" s="609" t="s">
        <v>592</v>
      </c>
      <c r="G463" s="950">
        <v>23</v>
      </c>
      <c r="H463" s="950"/>
      <c r="I463" s="950" t="s">
        <v>593</v>
      </c>
      <c r="J463" s="950"/>
      <c r="K463" s="609">
        <v>3</v>
      </c>
      <c r="L463" s="612">
        <f t="shared" si="7"/>
        <v>0.13043478260869565</v>
      </c>
      <c r="M463" s="609">
        <v>1</v>
      </c>
      <c r="N463" s="612">
        <f t="shared" si="8"/>
        <v>4.3478260869565216E-2</v>
      </c>
      <c r="O463" s="609">
        <v>17</v>
      </c>
      <c r="P463" s="612">
        <f t="shared" si="9"/>
        <v>0.73913043478260865</v>
      </c>
      <c r="Q463" s="609">
        <v>0</v>
      </c>
      <c r="R463" s="612">
        <f t="shared" si="10"/>
        <v>0</v>
      </c>
      <c r="S463" s="609">
        <v>2</v>
      </c>
      <c r="T463" s="612">
        <f t="shared" si="11"/>
        <v>8.6956521739130432E-2</v>
      </c>
      <c r="U463" s="609">
        <f>HLOOKUP(B463,[3]Càlculs!$A$1:$AM$8,4,FALSE)</f>
        <v>0</v>
      </c>
      <c r="V463" s="612">
        <f t="shared" si="12"/>
        <v>0</v>
      </c>
    </row>
    <row r="464" spans="2:22" s="37" customFormat="1" ht="21.75" customHeight="1" thickBot="1" x14ac:dyDescent="0.2">
      <c r="B464" s="609">
        <v>37214109</v>
      </c>
      <c r="C464" s="894" t="s">
        <v>607</v>
      </c>
      <c r="D464" s="894"/>
      <c r="E464" s="610" t="s">
        <v>309</v>
      </c>
      <c r="F464" s="609" t="s">
        <v>592</v>
      </c>
      <c r="G464" s="950">
        <v>30</v>
      </c>
      <c r="H464" s="950"/>
      <c r="I464" s="950" t="s">
        <v>593</v>
      </c>
      <c r="J464" s="950"/>
      <c r="K464" s="609">
        <v>9</v>
      </c>
      <c r="L464" s="612">
        <f t="shared" si="7"/>
        <v>0.3</v>
      </c>
      <c r="M464" s="609">
        <v>1</v>
      </c>
      <c r="N464" s="612">
        <f t="shared" si="8"/>
        <v>3.3333333333333333E-2</v>
      </c>
      <c r="O464" s="609">
        <v>16</v>
      </c>
      <c r="P464" s="612">
        <f t="shared" si="9"/>
        <v>0.53333333333333333</v>
      </c>
      <c r="Q464" s="609">
        <v>4</v>
      </c>
      <c r="R464" s="612">
        <f t="shared" si="10"/>
        <v>0.13333333333333333</v>
      </c>
      <c r="S464" s="609">
        <v>0</v>
      </c>
      <c r="T464" s="612">
        <f t="shared" si="11"/>
        <v>0</v>
      </c>
      <c r="U464" s="609">
        <f>HLOOKUP(B464,[3]Càlculs!$A$1:$AM$8,4,FALSE)</f>
        <v>0</v>
      </c>
      <c r="V464" s="612">
        <f t="shared" si="12"/>
        <v>0</v>
      </c>
    </row>
    <row r="465" spans="2:22" s="37" customFormat="1" ht="35.25" customHeight="1" thickBot="1" x14ac:dyDescent="0.2">
      <c r="B465" s="609">
        <v>37214007</v>
      </c>
      <c r="C465" s="894" t="s">
        <v>608</v>
      </c>
      <c r="D465" s="894"/>
      <c r="E465" s="610" t="s">
        <v>283</v>
      </c>
      <c r="F465" s="609" t="s">
        <v>592</v>
      </c>
      <c r="G465" s="950">
        <v>25</v>
      </c>
      <c r="H465" s="950"/>
      <c r="I465" s="950" t="s">
        <v>593</v>
      </c>
      <c r="J465" s="950"/>
      <c r="K465" s="609">
        <v>12</v>
      </c>
      <c r="L465" s="612">
        <f t="shared" si="7"/>
        <v>0.48</v>
      </c>
      <c r="M465" s="609">
        <v>1</v>
      </c>
      <c r="N465" s="612">
        <f t="shared" si="8"/>
        <v>0.04</v>
      </c>
      <c r="O465" s="609">
        <v>11</v>
      </c>
      <c r="P465" s="612">
        <f t="shared" si="9"/>
        <v>0.44</v>
      </c>
      <c r="Q465" s="609">
        <v>1</v>
      </c>
      <c r="R465" s="612">
        <f t="shared" si="10"/>
        <v>0.04</v>
      </c>
      <c r="S465" s="609">
        <v>0</v>
      </c>
      <c r="T465" s="612">
        <f t="shared" si="11"/>
        <v>0</v>
      </c>
      <c r="U465" s="609">
        <f>HLOOKUP(B465,[3]Càlculs!$A$1:$AM$8,4,FALSE)</f>
        <v>0</v>
      </c>
      <c r="V465" s="612">
        <f t="shared" si="12"/>
        <v>0</v>
      </c>
    </row>
    <row r="466" spans="2:22" s="37" customFormat="1" ht="34.5" customHeight="1" x14ac:dyDescent="0.15">
      <c r="B466" s="650">
        <v>37214116</v>
      </c>
      <c r="C466" s="953" t="s">
        <v>609</v>
      </c>
      <c r="D466" s="953"/>
      <c r="E466" s="651" t="s">
        <v>309</v>
      </c>
      <c r="F466" s="650" t="s">
        <v>592</v>
      </c>
      <c r="G466" s="954">
        <v>27</v>
      </c>
      <c r="H466" s="954"/>
      <c r="I466" s="954" t="s">
        <v>593</v>
      </c>
      <c r="J466" s="954"/>
      <c r="K466" s="650">
        <v>6</v>
      </c>
      <c r="L466" s="652">
        <f t="shared" si="7"/>
        <v>0.22222222222222221</v>
      </c>
      <c r="M466" s="650">
        <v>2</v>
      </c>
      <c r="N466" s="652">
        <f t="shared" si="8"/>
        <v>7.407407407407407E-2</v>
      </c>
      <c r="O466" s="650">
        <v>16</v>
      </c>
      <c r="P466" s="652">
        <f t="shared" si="9"/>
        <v>0.59259259259259256</v>
      </c>
      <c r="Q466" s="650">
        <v>1</v>
      </c>
      <c r="R466" s="652">
        <f t="shared" si="10"/>
        <v>3.7037037037037035E-2</v>
      </c>
      <c r="S466" s="650">
        <v>2</v>
      </c>
      <c r="T466" s="652">
        <f t="shared" si="11"/>
        <v>7.407407407407407E-2</v>
      </c>
      <c r="U466" s="650">
        <f>HLOOKUP(B466,[3]Càlculs!$A$1:$AM$8,4,FALSE)</f>
        <v>0</v>
      </c>
      <c r="V466" s="652">
        <f t="shared" si="12"/>
        <v>0</v>
      </c>
    </row>
    <row r="467" spans="2:22" s="37" customFormat="1" ht="21.75" customHeight="1" thickBot="1" x14ac:dyDescent="0.2">
      <c r="B467" s="622">
        <v>37214103</v>
      </c>
      <c r="C467" s="894" t="s">
        <v>610</v>
      </c>
      <c r="D467" s="894"/>
      <c r="E467" s="621" t="s">
        <v>309</v>
      </c>
      <c r="F467" s="622" t="s">
        <v>592</v>
      </c>
      <c r="G467" s="955">
        <v>19</v>
      </c>
      <c r="H467" s="955"/>
      <c r="I467" s="955" t="s">
        <v>593</v>
      </c>
      <c r="J467" s="955"/>
      <c r="K467" s="622">
        <v>0</v>
      </c>
      <c r="L467" s="623">
        <f t="shared" si="7"/>
        <v>0</v>
      </c>
      <c r="M467" s="622">
        <v>1</v>
      </c>
      <c r="N467" s="623">
        <f t="shared" si="8"/>
        <v>5.2631578947368418E-2</v>
      </c>
      <c r="O467" s="622">
        <v>17</v>
      </c>
      <c r="P467" s="623">
        <f t="shared" si="9"/>
        <v>0.89473684210526316</v>
      </c>
      <c r="Q467" s="622">
        <v>0</v>
      </c>
      <c r="R467" s="623">
        <f t="shared" si="10"/>
        <v>0</v>
      </c>
      <c r="S467" s="622">
        <v>0</v>
      </c>
      <c r="T467" s="623">
        <f t="shared" si="11"/>
        <v>0</v>
      </c>
      <c r="U467" s="622">
        <f>HLOOKUP(B467,[3]Càlculs!$A$1:$AM$8,4,FALSE)</f>
        <v>1</v>
      </c>
      <c r="V467" s="623">
        <f t="shared" si="12"/>
        <v>5.2631578947368418E-2</v>
      </c>
    </row>
    <row r="468" spans="2:22" s="37" customFormat="1" ht="21.75" customHeight="1" thickBot="1" x14ac:dyDescent="0.2">
      <c r="B468" s="609">
        <v>37214108</v>
      </c>
      <c r="C468" s="894" t="s">
        <v>324</v>
      </c>
      <c r="D468" s="894"/>
      <c r="E468" s="610" t="s">
        <v>309</v>
      </c>
      <c r="F468" s="609" t="s">
        <v>199</v>
      </c>
      <c r="G468" s="950">
        <v>21</v>
      </c>
      <c r="H468" s="950"/>
      <c r="I468" s="950" t="s">
        <v>593</v>
      </c>
      <c r="J468" s="950"/>
      <c r="K468" s="609">
        <v>9</v>
      </c>
      <c r="L468" s="612">
        <f t="shared" si="7"/>
        <v>0.42857142857142855</v>
      </c>
      <c r="M468" s="609">
        <v>0</v>
      </c>
      <c r="N468" s="612">
        <f t="shared" si="8"/>
        <v>0</v>
      </c>
      <c r="O468" s="609">
        <v>9</v>
      </c>
      <c r="P468" s="612">
        <f t="shared" si="9"/>
        <v>0.42857142857142855</v>
      </c>
      <c r="Q468" s="609">
        <v>3</v>
      </c>
      <c r="R468" s="612">
        <f t="shared" si="10"/>
        <v>0.14285714285714285</v>
      </c>
      <c r="S468" s="609">
        <v>0</v>
      </c>
      <c r="T468" s="612">
        <f t="shared" si="11"/>
        <v>0</v>
      </c>
      <c r="U468" s="609">
        <f>HLOOKUP(B468,[3]Càlculs!$A$1:$AM$8,4,FALSE)</f>
        <v>0</v>
      </c>
      <c r="V468" s="612">
        <f t="shared" si="12"/>
        <v>0</v>
      </c>
    </row>
    <row r="469" spans="2:22" s="37" customFormat="1" ht="21.75" customHeight="1" thickBot="1" x14ac:dyDescent="0.2">
      <c r="B469" s="609">
        <v>37214110</v>
      </c>
      <c r="C469" s="894" t="s">
        <v>611</v>
      </c>
      <c r="D469" s="894"/>
      <c r="E469" s="610" t="s">
        <v>309</v>
      </c>
      <c r="F469" s="609" t="s">
        <v>592</v>
      </c>
      <c r="G469" s="950">
        <v>15</v>
      </c>
      <c r="H469" s="950"/>
      <c r="I469" s="950" t="s">
        <v>593</v>
      </c>
      <c r="J469" s="950"/>
      <c r="K469" s="609">
        <v>3</v>
      </c>
      <c r="L469" s="612">
        <f t="shared" si="7"/>
        <v>0.2</v>
      </c>
      <c r="M469" s="609">
        <v>1</v>
      </c>
      <c r="N469" s="612">
        <f t="shared" si="8"/>
        <v>6.6666666666666666E-2</v>
      </c>
      <c r="O469" s="609">
        <v>10</v>
      </c>
      <c r="P469" s="612">
        <f t="shared" si="9"/>
        <v>0.66666666666666663</v>
      </c>
      <c r="Q469" s="609">
        <v>1</v>
      </c>
      <c r="R469" s="612">
        <f t="shared" si="10"/>
        <v>6.6666666666666666E-2</v>
      </c>
      <c r="S469" s="609">
        <v>0</v>
      </c>
      <c r="T469" s="612">
        <f t="shared" si="11"/>
        <v>0</v>
      </c>
      <c r="U469" s="609">
        <f>HLOOKUP(B469,[3]Càlculs!$A$1:$AM$8,4,FALSE)</f>
        <v>0</v>
      </c>
      <c r="V469" s="612">
        <f t="shared" si="12"/>
        <v>0</v>
      </c>
    </row>
    <row r="470" spans="2:22" s="37" customFormat="1" ht="21.75" customHeight="1" thickBot="1" x14ac:dyDescent="0.2">
      <c r="B470" s="609">
        <v>37214112</v>
      </c>
      <c r="C470" s="894" t="s">
        <v>612</v>
      </c>
      <c r="D470" s="894"/>
      <c r="E470" s="610" t="s">
        <v>309</v>
      </c>
      <c r="F470" s="609" t="s">
        <v>592</v>
      </c>
      <c r="G470" s="950">
        <v>22</v>
      </c>
      <c r="H470" s="950"/>
      <c r="I470" s="950" t="s">
        <v>593</v>
      </c>
      <c r="J470" s="950"/>
      <c r="K470" s="609">
        <v>12</v>
      </c>
      <c r="L470" s="612">
        <f t="shared" si="7"/>
        <v>0.54545454545454541</v>
      </c>
      <c r="M470" s="609">
        <v>3</v>
      </c>
      <c r="N470" s="612">
        <f t="shared" si="8"/>
        <v>0.13636363636363635</v>
      </c>
      <c r="O470" s="609">
        <v>4</v>
      </c>
      <c r="P470" s="612">
        <f t="shared" si="9"/>
        <v>0.18181818181818182</v>
      </c>
      <c r="Q470" s="609">
        <v>1</v>
      </c>
      <c r="R470" s="612">
        <f t="shared" si="10"/>
        <v>4.5454545454545456E-2</v>
      </c>
      <c r="S470" s="609">
        <v>1</v>
      </c>
      <c r="T470" s="612">
        <f t="shared" si="11"/>
        <v>4.5454545454545456E-2</v>
      </c>
      <c r="U470" s="609">
        <f>HLOOKUP(B470,[3]Càlculs!$A$1:$AM$8,4,FALSE)</f>
        <v>1</v>
      </c>
      <c r="V470" s="612">
        <f t="shared" si="12"/>
        <v>4.5454545454545456E-2</v>
      </c>
    </row>
    <row r="471" spans="2:22" s="37" customFormat="1" ht="21.75" customHeight="1" thickBot="1" x14ac:dyDescent="0.2">
      <c r="B471" s="609">
        <v>37214114</v>
      </c>
      <c r="C471" s="894" t="s">
        <v>333</v>
      </c>
      <c r="D471" s="894"/>
      <c r="E471" s="610" t="s">
        <v>309</v>
      </c>
      <c r="F471" s="609" t="s">
        <v>592</v>
      </c>
      <c r="G471" s="950">
        <v>14</v>
      </c>
      <c r="H471" s="950"/>
      <c r="I471" s="950" t="s">
        <v>593</v>
      </c>
      <c r="J471" s="950"/>
      <c r="K471" s="609">
        <v>0</v>
      </c>
      <c r="L471" s="612">
        <f t="shared" si="7"/>
        <v>0</v>
      </c>
      <c r="M471" s="609">
        <v>0</v>
      </c>
      <c r="N471" s="612">
        <f t="shared" si="8"/>
        <v>0</v>
      </c>
      <c r="O471" s="609">
        <v>7</v>
      </c>
      <c r="P471" s="612">
        <f t="shared" si="9"/>
        <v>0.5</v>
      </c>
      <c r="Q471" s="609">
        <v>0</v>
      </c>
      <c r="R471" s="612">
        <f t="shared" si="10"/>
        <v>0</v>
      </c>
      <c r="S471" s="609">
        <v>6</v>
      </c>
      <c r="T471" s="612">
        <f t="shared" si="11"/>
        <v>0.42857142857142855</v>
      </c>
      <c r="U471" s="609">
        <f>HLOOKUP(B471,[3]Càlculs!$A$1:$AM$8,4,FALSE)</f>
        <v>1</v>
      </c>
      <c r="V471" s="612">
        <f t="shared" si="12"/>
        <v>7.1428571428571425E-2</v>
      </c>
    </row>
    <row r="472" spans="2:22" s="37" customFormat="1" ht="21.75" customHeight="1" thickBot="1" x14ac:dyDescent="0.2">
      <c r="B472" s="609">
        <v>37214113</v>
      </c>
      <c r="C472" s="894" t="s">
        <v>613</v>
      </c>
      <c r="D472" s="894"/>
      <c r="E472" s="610" t="s">
        <v>309</v>
      </c>
      <c r="F472" s="609" t="s">
        <v>592</v>
      </c>
      <c r="G472" s="950">
        <v>14</v>
      </c>
      <c r="H472" s="950"/>
      <c r="I472" s="950" t="s">
        <v>593</v>
      </c>
      <c r="J472" s="950"/>
      <c r="K472" s="609">
        <v>1</v>
      </c>
      <c r="L472" s="612">
        <f t="shared" si="7"/>
        <v>7.1428571428571425E-2</v>
      </c>
      <c r="M472" s="609">
        <v>1</v>
      </c>
      <c r="N472" s="612">
        <f t="shared" si="8"/>
        <v>7.1428571428571425E-2</v>
      </c>
      <c r="O472" s="609">
        <v>12</v>
      </c>
      <c r="P472" s="612">
        <f t="shared" si="9"/>
        <v>0.8571428571428571</v>
      </c>
      <c r="Q472" s="609">
        <v>0</v>
      </c>
      <c r="R472" s="612">
        <f t="shared" si="10"/>
        <v>0</v>
      </c>
      <c r="S472" s="609">
        <v>0</v>
      </c>
      <c r="T472" s="612">
        <f t="shared" si="11"/>
        <v>0</v>
      </c>
      <c r="U472" s="609">
        <f>HLOOKUP(B472,[3]Càlculs!$A$1:$AM$8,4,FALSE)</f>
        <v>0</v>
      </c>
      <c r="V472" s="612">
        <f t="shared" si="12"/>
        <v>0</v>
      </c>
    </row>
    <row r="473" spans="2:22" s="37" customFormat="1" ht="21.75" customHeight="1" thickBot="1" x14ac:dyDescent="0.2">
      <c r="B473" s="609">
        <v>37214117</v>
      </c>
      <c r="C473" s="894" t="s">
        <v>341</v>
      </c>
      <c r="D473" s="894"/>
      <c r="E473" s="610" t="s">
        <v>309</v>
      </c>
      <c r="F473" s="609" t="s">
        <v>592</v>
      </c>
      <c r="G473" s="950">
        <v>14</v>
      </c>
      <c r="H473" s="950"/>
      <c r="I473" s="950" t="s">
        <v>593</v>
      </c>
      <c r="J473" s="950"/>
      <c r="K473" s="609">
        <v>2</v>
      </c>
      <c r="L473" s="612">
        <f t="shared" si="7"/>
        <v>0.14285714285714285</v>
      </c>
      <c r="M473" s="609">
        <v>0</v>
      </c>
      <c r="N473" s="612">
        <f t="shared" si="8"/>
        <v>0</v>
      </c>
      <c r="O473" s="609">
        <v>12</v>
      </c>
      <c r="P473" s="612">
        <f t="shared" si="9"/>
        <v>0.8571428571428571</v>
      </c>
      <c r="Q473" s="609">
        <v>0</v>
      </c>
      <c r="R473" s="612">
        <f t="shared" si="10"/>
        <v>0</v>
      </c>
      <c r="S473" s="609">
        <v>0</v>
      </c>
      <c r="T473" s="612">
        <f t="shared" si="11"/>
        <v>0</v>
      </c>
      <c r="U473" s="609">
        <f>HLOOKUP(B473,[3]Càlculs!$A$1:$AM$8,4,FALSE)</f>
        <v>0</v>
      </c>
      <c r="V473" s="612">
        <f t="shared" si="12"/>
        <v>0</v>
      </c>
    </row>
    <row r="474" spans="2:22" s="37" customFormat="1" ht="21.75" customHeight="1" thickBot="1" x14ac:dyDescent="0.2">
      <c r="B474" s="609">
        <v>37214118</v>
      </c>
      <c r="C474" s="894" t="s">
        <v>343</v>
      </c>
      <c r="D474" s="894"/>
      <c r="E474" s="610" t="s">
        <v>309</v>
      </c>
      <c r="F474" s="609" t="s">
        <v>592</v>
      </c>
      <c r="G474" s="950">
        <v>18</v>
      </c>
      <c r="H474" s="950"/>
      <c r="I474" s="950" t="s">
        <v>593</v>
      </c>
      <c r="J474" s="950"/>
      <c r="K474" s="609">
        <v>2</v>
      </c>
      <c r="L474" s="612">
        <f t="shared" si="7"/>
        <v>0.1111111111111111</v>
      </c>
      <c r="M474" s="609">
        <v>0</v>
      </c>
      <c r="N474" s="612">
        <f t="shared" si="8"/>
        <v>0</v>
      </c>
      <c r="O474" s="609">
        <v>16</v>
      </c>
      <c r="P474" s="612">
        <f t="shared" si="9"/>
        <v>0.88888888888888884</v>
      </c>
      <c r="Q474" s="609">
        <v>0</v>
      </c>
      <c r="R474" s="612">
        <f t="shared" si="10"/>
        <v>0</v>
      </c>
      <c r="S474" s="609">
        <v>0</v>
      </c>
      <c r="T474" s="612">
        <f t="shared" si="11"/>
        <v>0</v>
      </c>
      <c r="U474" s="609">
        <f>HLOOKUP(B474,[3]Càlculs!$A$1:$AM$8,4,FALSE)</f>
        <v>0</v>
      </c>
      <c r="V474" s="612">
        <f t="shared" si="12"/>
        <v>0</v>
      </c>
    </row>
    <row r="475" spans="2:22" s="37" customFormat="1" ht="34.5" customHeight="1" x14ac:dyDescent="0.15">
      <c r="B475" s="650">
        <v>37214121</v>
      </c>
      <c r="C475" s="953" t="s">
        <v>614</v>
      </c>
      <c r="D475" s="953"/>
      <c r="E475" s="651" t="s">
        <v>309</v>
      </c>
      <c r="F475" s="650" t="s">
        <v>592</v>
      </c>
      <c r="G475" s="954">
        <v>12</v>
      </c>
      <c r="H475" s="954"/>
      <c r="I475" s="954" t="s">
        <v>593</v>
      </c>
      <c r="J475" s="954"/>
      <c r="K475" s="650">
        <v>0</v>
      </c>
      <c r="L475" s="652">
        <f t="shared" si="7"/>
        <v>0</v>
      </c>
      <c r="M475" s="650">
        <v>1</v>
      </c>
      <c r="N475" s="652">
        <f t="shared" si="8"/>
        <v>8.3333333333333329E-2</v>
      </c>
      <c r="O475" s="650">
        <v>8</v>
      </c>
      <c r="P475" s="652">
        <f t="shared" si="9"/>
        <v>0.66666666666666663</v>
      </c>
      <c r="Q475" s="650">
        <v>0</v>
      </c>
      <c r="R475" s="652">
        <f t="shared" si="10"/>
        <v>0</v>
      </c>
      <c r="S475" s="650">
        <v>2</v>
      </c>
      <c r="T475" s="652">
        <f t="shared" si="11"/>
        <v>0.16666666666666666</v>
      </c>
      <c r="U475" s="650">
        <f>HLOOKUP(B475,[3]Càlculs!$A$1:$AM$8,4,FALSE)</f>
        <v>1</v>
      </c>
      <c r="V475" s="652">
        <f t="shared" si="12"/>
        <v>8.3333333333333329E-2</v>
      </c>
    </row>
    <row r="476" spans="2:22" s="37" customFormat="1" ht="21.75" customHeight="1" thickBot="1" x14ac:dyDescent="0.2">
      <c r="B476" s="622">
        <v>37214111</v>
      </c>
      <c r="C476" s="894" t="s">
        <v>615</v>
      </c>
      <c r="D476" s="894"/>
      <c r="E476" s="621" t="s">
        <v>309</v>
      </c>
      <c r="F476" s="622" t="s">
        <v>592</v>
      </c>
      <c r="G476" s="955">
        <v>21</v>
      </c>
      <c r="H476" s="955"/>
      <c r="I476" s="955" t="s">
        <v>593</v>
      </c>
      <c r="J476" s="955"/>
      <c r="K476" s="622">
        <v>9</v>
      </c>
      <c r="L476" s="623">
        <f t="shared" si="7"/>
        <v>0.42857142857142855</v>
      </c>
      <c r="M476" s="622">
        <v>1</v>
      </c>
      <c r="N476" s="623">
        <f t="shared" si="8"/>
        <v>4.7619047619047616E-2</v>
      </c>
      <c r="O476" s="622">
        <v>7</v>
      </c>
      <c r="P476" s="623">
        <f t="shared" si="9"/>
        <v>0.33333333333333331</v>
      </c>
      <c r="Q476" s="622">
        <v>4</v>
      </c>
      <c r="R476" s="623">
        <f t="shared" si="10"/>
        <v>0.19047619047619047</v>
      </c>
      <c r="S476" s="622">
        <v>0</v>
      </c>
      <c r="T476" s="623">
        <f t="shared" si="11"/>
        <v>0</v>
      </c>
      <c r="U476" s="622">
        <f>HLOOKUP(B476,[3]Càlculs!$A$1:$AM$8,4,FALSE)</f>
        <v>0</v>
      </c>
      <c r="V476" s="623">
        <f t="shared" si="12"/>
        <v>0</v>
      </c>
    </row>
    <row r="477" spans="2:22" s="37" customFormat="1" ht="21.75" customHeight="1" thickBot="1" x14ac:dyDescent="0.2">
      <c r="B477" s="609">
        <v>37214115</v>
      </c>
      <c r="C477" s="894" t="s">
        <v>337</v>
      </c>
      <c r="D477" s="894"/>
      <c r="E477" s="610" t="s">
        <v>309</v>
      </c>
      <c r="F477" s="609" t="s">
        <v>592</v>
      </c>
      <c r="G477" s="950">
        <v>17</v>
      </c>
      <c r="H477" s="950"/>
      <c r="I477" s="950" t="s">
        <v>593</v>
      </c>
      <c r="J477" s="950"/>
      <c r="K477" s="609">
        <v>5</v>
      </c>
      <c r="L477" s="612">
        <f t="shared" si="7"/>
        <v>0.29411764705882354</v>
      </c>
      <c r="M477" s="609">
        <v>1</v>
      </c>
      <c r="N477" s="612">
        <f t="shared" si="8"/>
        <v>5.8823529411764705E-2</v>
      </c>
      <c r="O477" s="609">
        <v>11</v>
      </c>
      <c r="P477" s="612">
        <f t="shared" si="9"/>
        <v>0.6470588235294118</v>
      </c>
      <c r="Q477" s="609">
        <v>0</v>
      </c>
      <c r="R477" s="612">
        <f t="shared" si="10"/>
        <v>0</v>
      </c>
      <c r="S477" s="609">
        <v>0</v>
      </c>
      <c r="T477" s="612">
        <f t="shared" si="11"/>
        <v>0</v>
      </c>
      <c r="U477" s="609">
        <f>HLOOKUP(B477,[3]Càlculs!$A$1:$AM$8,4,FALSE)</f>
        <v>0</v>
      </c>
      <c r="V477" s="612">
        <f t="shared" si="12"/>
        <v>0</v>
      </c>
    </row>
    <row r="478" spans="2:22" s="37" customFormat="1" ht="21.75" customHeight="1" thickBot="1" x14ac:dyDescent="0.2">
      <c r="B478" s="609">
        <v>37214119</v>
      </c>
      <c r="C478" s="894" t="s">
        <v>346</v>
      </c>
      <c r="D478" s="894"/>
      <c r="E478" s="610" t="s">
        <v>309</v>
      </c>
      <c r="F478" s="609" t="s">
        <v>592</v>
      </c>
      <c r="G478" s="950">
        <v>16</v>
      </c>
      <c r="H478" s="950"/>
      <c r="I478" s="950" t="s">
        <v>593</v>
      </c>
      <c r="J478" s="950"/>
      <c r="K478" s="609">
        <v>4</v>
      </c>
      <c r="L478" s="612">
        <f t="shared" si="7"/>
        <v>0.25</v>
      </c>
      <c r="M478" s="609">
        <v>0</v>
      </c>
      <c r="N478" s="612">
        <f t="shared" si="8"/>
        <v>0</v>
      </c>
      <c r="O478" s="609">
        <v>9</v>
      </c>
      <c r="P478" s="612">
        <f t="shared" si="9"/>
        <v>0.5625</v>
      </c>
      <c r="Q478" s="609">
        <v>0</v>
      </c>
      <c r="R478" s="612">
        <f t="shared" si="10"/>
        <v>0</v>
      </c>
      <c r="S478" s="609">
        <v>2</v>
      </c>
      <c r="T478" s="612">
        <f t="shared" si="11"/>
        <v>0.125</v>
      </c>
      <c r="U478" s="609">
        <f>HLOOKUP(B478,[3]Càlculs!$A$1:$AM$8,4,FALSE)</f>
        <v>1</v>
      </c>
      <c r="V478" s="612">
        <f t="shared" si="12"/>
        <v>6.25E-2</v>
      </c>
    </row>
    <row r="479" spans="2:22" s="37" customFormat="1" ht="33.75" customHeight="1" thickBot="1" x14ac:dyDescent="0.2">
      <c r="B479" s="609">
        <v>37214120</v>
      </c>
      <c r="C479" s="894" t="s">
        <v>616</v>
      </c>
      <c r="D479" s="894"/>
      <c r="E479" s="610" t="s">
        <v>309</v>
      </c>
      <c r="F479" s="609" t="s">
        <v>592</v>
      </c>
      <c r="G479" s="950">
        <v>15</v>
      </c>
      <c r="H479" s="950"/>
      <c r="I479" s="950" t="s">
        <v>593</v>
      </c>
      <c r="J479" s="950"/>
      <c r="K479" s="609">
        <v>6</v>
      </c>
      <c r="L479" s="612">
        <f t="shared" si="7"/>
        <v>0.4</v>
      </c>
      <c r="M479" s="609">
        <v>0</v>
      </c>
      <c r="N479" s="612">
        <f t="shared" si="8"/>
        <v>0</v>
      </c>
      <c r="O479" s="609">
        <v>8</v>
      </c>
      <c r="P479" s="612">
        <f t="shared" si="9"/>
        <v>0.53333333333333333</v>
      </c>
      <c r="Q479" s="609">
        <v>0</v>
      </c>
      <c r="R479" s="612">
        <f t="shared" si="10"/>
        <v>0</v>
      </c>
      <c r="S479" s="609">
        <v>0</v>
      </c>
      <c r="T479" s="612">
        <f t="shared" si="11"/>
        <v>0</v>
      </c>
      <c r="U479" s="609">
        <f>HLOOKUP(B479,[3]Càlculs!$A$1:$AM$8,4,FALSE)</f>
        <v>1</v>
      </c>
      <c r="V479" s="612">
        <f t="shared" si="12"/>
        <v>6.6666666666666666E-2</v>
      </c>
    </row>
    <row r="480" spans="2:22" s="37" customFormat="1" ht="31.5" customHeight="1" thickBot="1" x14ac:dyDescent="0.2">
      <c r="B480" s="609">
        <v>37214201</v>
      </c>
      <c r="C480" s="894" t="s">
        <v>617</v>
      </c>
      <c r="D480" s="894"/>
      <c r="E480" s="610" t="s">
        <v>353</v>
      </c>
      <c r="F480" s="609" t="s">
        <v>592</v>
      </c>
      <c r="G480" s="950">
        <v>16</v>
      </c>
      <c r="H480" s="950"/>
      <c r="I480" s="950" t="s">
        <v>593</v>
      </c>
      <c r="J480" s="950"/>
      <c r="K480" s="609">
        <v>12</v>
      </c>
      <c r="L480" s="612">
        <f t="shared" si="7"/>
        <v>0.75</v>
      </c>
      <c r="M480" s="609">
        <v>1</v>
      </c>
      <c r="N480" s="612">
        <f t="shared" si="8"/>
        <v>6.25E-2</v>
      </c>
      <c r="O480" s="609">
        <v>2</v>
      </c>
      <c r="P480" s="612">
        <f t="shared" si="9"/>
        <v>0.125</v>
      </c>
      <c r="Q480" s="609">
        <v>1</v>
      </c>
      <c r="R480" s="612">
        <f t="shared" si="10"/>
        <v>6.25E-2</v>
      </c>
      <c r="S480" s="609">
        <v>0</v>
      </c>
      <c r="T480" s="612">
        <f t="shared" si="11"/>
        <v>0</v>
      </c>
      <c r="U480" s="609">
        <f>HLOOKUP(B480,[3]Càlculs!$A$1:$AM$8,4,FALSE)</f>
        <v>0</v>
      </c>
      <c r="V480" s="612">
        <f t="shared" si="12"/>
        <v>0</v>
      </c>
    </row>
    <row r="481" spans="2:37" s="37" customFormat="1" ht="36.75" customHeight="1" thickBot="1" x14ac:dyDescent="0.2">
      <c r="B481" s="609">
        <v>37214202</v>
      </c>
      <c r="C481" s="894" t="s">
        <v>618</v>
      </c>
      <c r="D481" s="894"/>
      <c r="E481" s="610" t="s">
        <v>353</v>
      </c>
      <c r="F481" s="609" t="s">
        <v>592</v>
      </c>
      <c r="G481" s="950">
        <v>9</v>
      </c>
      <c r="H481" s="950"/>
      <c r="I481" s="950" t="s">
        <v>593</v>
      </c>
      <c r="J481" s="950"/>
      <c r="K481" s="609">
        <v>2</v>
      </c>
      <c r="L481" s="612">
        <f t="shared" si="7"/>
        <v>0.22222222222222221</v>
      </c>
      <c r="M481" s="609">
        <v>3</v>
      </c>
      <c r="N481" s="612">
        <f t="shared" si="8"/>
        <v>0.33333333333333331</v>
      </c>
      <c r="O481" s="609">
        <v>4</v>
      </c>
      <c r="P481" s="612">
        <f t="shared" si="9"/>
        <v>0.44444444444444442</v>
      </c>
      <c r="Q481" s="609">
        <v>0</v>
      </c>
      <c r="R481" s="612">
        <f t="shared" si="10"/>
        <v>0</v>
      </c>
      <c r="S481" s="609">
        <v>0</v>
      </c>
      <c r="T481" s="612">
        <f t="shared" si="11"/>
        <v>0</v>
      </c>
      <c r="U481" s="609">
        <f>HLOOKUP(B481,[3]Càlculs!$A$1:$AM$8,4,FALSE)</f>
        <v>0</v>
      </c>
      <c r="V481" s="612">
        <f t="shared" si="12"/>
        <v>0</v>
      </c>
    </row>
    <row r="482" spans="2:37" s="37" customFormat="1" ht="29.25" customHeight="1" thickBot="1" x14ac:dyDescent="0.2">
      <c r="B482" s="609">
        <v>37214203</v>
      </c>
      <c r="C482" s="894" t="s">
        <v>619</v>
      </c>
      <c r="D482" s="894"/>
      <c r="E482" s="610" t="s">
        <v>353</v>
      </c>
      <c r="F482" s="609" t="s">
        <v>592</v>
      </c>
      <c r="G482" s="950">
        <v>12</v>
      </c>
      <c r="H482" s="950"/>
      <c r="I482" s="950" t="s">
        <v>593</v>
      </c>
      <c r="J482" s="950"/>
      <c r="K482" s="609">
        <v>2</v>
      </c>
      <c r="L482" s="612">
        <f t="shared" si="7"/>
        <v>0.16666666666666666</v>
      </c>
      <c r="M482" s="609">
        <v>0</v>
      </c>
      <c r="N482" s="612">
        <f t="shared" si="8"/>
        <v>0</v>
      </c>
      <c r="O482" s="609">
        <v>10</v>
      </c>
      <c r="P482" s="612">
        <f t="shared" si="9"/>
        <v>0.83333333333333337</v>
      </c>
      <c r="Q482" s="609">
        <v>0</v>
      </c>
      <c r="R482" s="612">
        <f t="shared" si="10"/>
        <v>0</v>
      </c>
      <c r="S482" s="609">
        <v>0</v>
      </c>
      <c r="T482" s="612">
        <f t="shared" si="11"/>
        <v>0</v>
      </c>
      <c r="U482" s="609">
        <f>HLOOKUP(B482,[3]Càlculs!$A$1:$AM$8,4,FALSE)</f>
        <v>0</v>
      </c>
      <c r="V482" s="612">
        <f t="shared" si="12"/>
        <v>0</v>
      </c>
    </row>
    <row r="483" spans="2:37" s="73" customFormat="1" ht="35.25" customHeight="1" thickBot="1" x14ac:dyDescent="0.2">
      <c r="B483" s="609">
        <v>37214204</v>
      </c>
      <c r="C483" s="957" t="s">
        <v>1117</v>
      </c>
      <c r="D483" s="957"/>
      <c r="E483" s="610" t="s">
        <v>353</v>
      </c>
      <c r="F483" s="609" t="s">
        <v>592</v>
      </c>
      <c r="G483" s="950" t="s">
        <v>64</v>
      </c>
      <c r="H483" s="950"/>
      <c r="I483" s="950" t="s">
        <v>593</v>
      </c>
      <c r="J483" s="950"/>
      <c r="K483" s="609" t="s">
        <v>64</v>
      </c>
      <c r="L483" s="612">
        <v>0</v>
      </c>
      <c r="M483" s="609" t="s">
        <v>64</v>
      </c>
      <c r="N483" s="612">
        <v>0</v>
      </c>
      <c r="O483" s="609" t="s">
        <v>64</v>
      </c>
      <c r="P483" s="612">
        <v>0</v>
      </c>
      <c r="Q483" s="609" t="s">
        <v>64</v>
      </c>
      <c r="R483" s="612">
        <v>0</v>
      </c>
      <c r="S483" s="609" t="s">
        <v>64</v>
      </c>
      <c r="T483" s="612">
        <v>0</v>
      </c>
      <c r="U483" s="609" t="s">
        <v>64</v>
      </c>
      <c r="V483" s="612">
        <v>0</v>
      </c>
    </row>
    <row r="484" spans="2:37" s="37" customFormat="1" ht="21.75" customHeight="1" thickBot="1" x14ac:dyDescent="0.2">
      <c r="B484" s="609">
        <v>37214401</v>
      </c>
      <c r="C484" s="957" t="s">
        <v>358</v>
      </c>
      <c r="D484" s="957"/>
      <c r="E484" s="610" t="s">
        <v>309</v>
      </c>
      <c r="F484" s="609" t="s">
        <v>592</v>
      </c>
      <c r="G484" s="950">
        <v>13</v>
      </c>
      <c r="H484" s="950"/>
      <c r="I484" s="950" t="s">
        <v>621</v>
      </c>
      <c r="J484" s="950"/>
      <c r="K484" s="609">
        <v>2</v>
      </c>
      <c r="L484" s="612">
        <f>K484/$G484</f>
        <v>0.15384615384615385</v>
      </c>
      <c r="M484" s="609">
        <v>0</v>
      </c>
      <c r="N484" s="612">
        <f>M484/$G484</f>
        <v>0</v>
      </c>
      <c r="O484" s="609">
        <v>9</v>
      </c>
      <c r="P484" s="612">
        <f>O484/$G484</f>
        <v>0.69230769230769229</v>
      </c>
      <c r="Q484" s="609">
        <v>0</v>
      </c>
      <c r="R484" s="612">
        <f>Q484/$G484</f>
        <v>0</v>
      </c>
      <c r="S484" s="609">
        <v>2</v>
      </c>
      <c r="T484" s="612">
        <f>S484/$G484</f>
        <v>0.15384615384615385</v>
      </c>
      <c r="U484" s="609">
        <f>HLOOKUP(B484,[3]Càlculs!$A$1:$AM$8,4,FALSE)</f>
        <v>0</v>
      </c>
      <c r="V484" s="612">
        <f>U484/$G484</f>
        <v>0</v>
      </c>
    </row>
    <row r="485" spans="2:37" s="37" customFormat="1" ht="21.75" customHeight="1" thickBot="1" x14ac:dyDescent="0.2">
      <c r="B485" s="617">
        <v>37214301</v>
      </c>
      <c r="C485" s="951" t="s">
        <v>622</v>
      </c>
      <c r="D485" s="951"/>
      <c r="E485" s="618" t="s">
        <v>309</v>
      </c>
      <c r="F485" s="617" t="s">
        <v>592</v>
      </c>
      <c r="G485" s="952">
        <v>20</v>
      </c>
      <c r="H485" s="952"/>
      <c r="I485" s="952" t="s">
        <v>621</v>
      </c>
      <c r="J485" s="952"/>
      <c r="K485" s="617">
        <v>4</v>
      </c>
      <c r="L485" s="619">
        <f>K485/$G485</f>
        <v>0.2</v>
      </c>
      <c r="M485" s="617">
        <v>2</v>
      </c>
      <c r="N485" s="619">
        <f>M485/$G485</f>
        <v>0.1</v>
      </c>
      <c r="O485" s="617">
        <v>11</v>
      </c>
      <c r="P485" s="619">
        <f>O485/$G485</f>
        <v>0.55000000000000004</v>
      </c>
      <c r="Q485" s="617">
        <v>0</v>
      </c>
      <c r="R485" s="619">
        <f>Q485/$G485</f>
        <v>0</v>
      </c>
      <c r="S485" s="617">
        <v>3</v>
      </c>
      <c r="T485" s="619">
        <f>S485/$G485</f>
        <v>0.15</v>
      </c>
      <c r="U485" s="617">
        <f>HLOOKUP(B485,[3]Càlculs!$A$1:$AM$8,4,FALSE)</f>
        <v>0</v>
      </c>
      <c r="V485" s="619">
        <f>U485/$G485</f>
        <v>0</v>
      </c>
    </row>
    <row r="486" spans="2:37" s="37" customFormat="1" ht="12.75" customHeight="1" thickBot="1" x14ac:dyDescent="0.2">
      <c r="B486" s="613"/>
      <c r="C486" s="948" t="s">
        <v>623</v>
      </c>
      <c r="D486" s="948"/>
      <c r="E486" s="599"/>
      <c r="F486" s="599"/>
      <c r="G486" s="948">
        <f>SUM(G449:G485)</f>
        <v>932</v>
      </c>
      <c r="H486" s="948"/>
      <c r="I486" s="613"/>
      <c r="J486" s="613"/>
      <c r="K486" s="615">
        <f>SUM(K449:K485)</f>
        <v>286</v>
      </c>
      <c r="L486" s="599"/>
      <c r="M486" s="615">
        <f>SUM(M449:M485)</f>
        <v>48</v>
      </c>
      <c r="N486" s="599"/>
      <c r="O486" s="615">
        <f>SUM(O449:O485)</f>
        <v>477</v>
      </c>
      <c r="P486" s="599"/>
      <c r="Q486" s="615">
        <f>SUM(Q449:Q485)</f>
        <v>82</v>
      </c>
      <c r="R486" s="599"/>
      <c r="S486" s="615">
        <f>SUM(S449:S485)</f>
        <v>31</v>
      </c>
      <c r="T486" s="599"/>
      <c r="U486" s="615">
        <f>SUM(U449:U485)</f>
        <v>8</v>
      </c>
      <c r="V486" s="599"/>
    </row>
    <row r="487" spans="2:37" s="37" customFormat="1" ht="14.25" customHeight="1" x14ac:dyDescent="0.15">
      <c r="C487" s="949" t="s">
        <v>624</v>
      </c>
      <c r="D487" s="949"/>
      <c r="E487" s="599"/>
      <c r="F487" s="599"/>
      <c r="G487" s="949">
        <f>SUM(G449:G457)</f>
        <v>409</v>
      </c>
      <c r="H487" s="949"/>
      <c r="I487" s="613"/>
      <c r="J487" s="613"/>
      <c r="K487" s="614">
        <f>SUM(K449:K457)</f>
        <v>155</v>
      </c>
      <c r="L487" s="599"/>
      <c r="M487" s="614">
        <f>SUM(M449:M457)</f>
        <v>22</v>
      </c>
      <c r="N487" s="599"/>
      <c r="O487" s="614">
        <f>SUM(O449:O457)</f>
        <v>172</v>
      </c>
      <c r="P487" s="599"/>
      <c r="Q487" s="614">
        <f>SUM(Q449:Q457)</f>
        <v>51</v>
      </c>
      <c r="R487" s="599"/>
      <c r="S487" s="614">
        <f>SUM(S449:S457)</f>
        <v>8</v>
      </c>
      <c r="T487" s="599"/>
      <c r="U487" s="614">
        <f>SUM(U449:U457)</f>
        <v>1</v>
      </c>
      <c r="V487" s="599"/>
    </row>
    <row r="489" spans="2:37" ht="15" customHeight="1" x14ac:dyDescent="0.25">
      <c r="B489" s="397" t="s">
        <v>1118</v>
      </c>
      <c r="F489" s="616"/>
      <c r="G489" s="616"/>
      <c r="H489" s="616"/>
      <c r="I489" s="616"/>
      <c r="J489" s="616"/>
      <c r="K489" s="616"/>
      <c r="L489" s="616"/>
      <c r="M489" s="616"/>
      <c r="N489" s="616"/>
      <c r="O489" s="616"/>
      <c r="P489" s="616"/>
      <c r="Q489" s="616"/>
      <c r="R489" s="616"/>
    </row>
    <row r="490" spans="2:37" s="398" customFormat="1" ht="15" customHeight="1" x14ac:dyDescent="0.25">
      <c r="B490" s="397"/>
      <c r="F490" s="616"/>
      <c r="G490" s="616"/>
      <c r="H490" s="616"/>
      <c r="I490" s="616"/>
      <c r="J490" s="616"/>
      <c r="K490" s="616"/>
      <c r="L490" s="616"/>
      <c r="M490" s="616"/>
      <c r="N490" s="616"/>
      <c r="O490" s="616"/>
      <c r="P490" s="616"/>
      <c r="Q490" s="616"/>
      <c r="R490" s="616"/>
    </row>
    <row r="491" spans="2:37" x14ac:dyDescent="0.25">
      <c r="B491" s="37"/>
      <c r="F491" s="616"/>
      <c r="G491" s="616"/>
      <c r="H491" s="616"/>
      <c r="I491" s="616"/>
      <c r="J491" s="616"/>
      <c r="K491" s="616"/>
      <c r="L491" s="616"/>
      <c r="M491" s="616"/>
      <c r="N491" s="616"/>
      <c r="O491" s="616"/>
      <c r="P491" s="616"/>
      <c r="Q491" s="616"/>
      <c r="R491" s="616"/>
    </row>
    <row r="492" spans="2:37" s="72" customFormat="1" ht="15" customHeight="1" x14ac:dyDescent="0.25">
      <c r="B492" s="956" t="s">
        <v>13</v>
      </c>
      <c r="C492" s="860" t="s">
        <v>13</v>
      </c>
      <c r="D492" s="860"/>
      <c r="E492" s="860"/>
      <c r="F492" s="860"/>
      <c r="G492" s="860"/>
      <c r="H492" s="860"/>
      <c r="I492" s="860"/>
      <c r="J492" s="860"/>
      <c r="K492" s="860"/>
      <c r="L492" s="860"/>
      <c r="M492" s="860"/>
      <c r="N492" s="860"/>
      <c r="O492" s="860"/>
      <c r="P492" s="860"/>
      <c r="Q492" s="860"/>
      <c r="R492" s="860"/>
      <c r="S492" s="860"/>
      <c r="T492" s="860"/>
      <c r="U492" s="860"/>
      <c r="V492" s="860"/>
    </row>
    <row r="493" spans="2:37" ht="15" customHeight="1" x14ac:dyDescent="0.25">
      <c r="B493" s="666" t="s">
        <v>372</v>
      </c>
      <c r="C493" s="666" t="s">
        <v>272</v>
      </c>
      <c r="D493" s="666"/>
      <c r="E493" s="666" t="s">
        <v>580</v>
      </c>
      <c r="F493" s="666" t="s">
        <v>581</v>
      </c>
      <c r="G493" s="666" t="s">
        <v>582</v>
      </c>
      <c r="H493" s="666"/>
      <c r="I493" s="666" t="s">
        <v>583</v>
      </c>
      <c r="J493" s="666"/>
      <c r="K493" s="667" t="s">
        <v>584</v>
      </c>
      <c r="L493" s="667"/>
      <c r="M493" s="667"/>
      <c r="N493" s="667"/>
      <c r="O493" s="667"/>
      <c r="P493" s="667"/>
      <c r="Q493" s="667"/>
      <c r="R493" s="667"/>
      <c r="S493" s="667"/>
      <c r="T493" s="667"/>
      <c r="U493" s="667"/>
      <c r="V493" s="667"/>
      <c r="W493" s="96"/>
      <c r="X493" s="96"/>
      <c r="Y493" s="96"/>
      <c r="Z493" s="96"/>
      <c r="AA493" s="96"/>
      <c r="AB493" s="96"/>
      <c r="AC493" s="96"/>
      <c r="AD493" s="96"/>
      <c r="AE493" s="96"/>
      <c r="AF493" s="96"/>
      <c r="AG493" s="96"/>
      <c r="AH493" s="96"/>
      <c r="AI493" s="96"/>
      <c r="AJ493" s="96"/>
      <c r="AK493" s="96"/>
    </row>
    <row r="494" spans="2:37" ht="15" customHeight="1" x14ac:dyDescent="0.25">
      <c r="B494" s="667"/>
      <c r="C494" s="667"/>
      <c r="D494" s="667"/>
      <c r="E494" s="667"/>
      <c r="F494" s="667"/>
      <c r="G494" s="667"/>
      <c r="H494" s="667"/>
      <c r="I494" s="667"/>
      <c r="J494" s="667"/>
      <c r="K494" s="700" t="s">
        <v>585</v>
      </c>
      <c r="L494" s="700"/>
      <c r="M494" s="700" t="s">
        <v>586</v>
      </c>
      <c r="N494" s="700"/>
      <c r="O494" s="700" t="s">
        <v>587</v>
      </c>
      <c r="P494" s="700"/>
      <c r="Q494" s="700" t="s">
        <v>588</v>
      </c>
      <c r="R494" s="700"/>
      <c r="S494" s="700" t="s">
        <v>589</v>
      </c>
      <c r="T494" s="700"/>
      <c r="U494" s="700" t="s">
        <v>590</v>
      </c>
      <c r="V494" s="700"/>
    </row>
    <row r="495" spans="2:37" ht="21.75" thickBot="1" x14ac:dyDescent="0.3">
      <c r="B495" s="620">
        <v>37204004</v>
      </c>
      <c r="C495" s="894" t="s">
        <v>706</v>
      </c>
      <c r="D495" s="894"/>
      <c r="E495" s="621" t="s">
        <v>283</v>
      </c>
      <c r="F495" s="620" t="s">
        <v>199</v>
      </c>
      <c r="G495" s="955">
        <v>100</v>
      </c>
      <c r="H495" s="955"/>
      <c r="I495" s="955" t="s">
        <v>593</v>
      </c>
      <c r="J495" s="955"/>
      <c r="K495" s="620">
        <v>33</v>
      </c>
      <c r="L495" s="623">
        <v>0.33</v>
      </c>
      <c r="M495" s="620">
        <v>24</v>
      </c>
      <c r="N495" s="623">
        <v>0.24</v>
      </c>
      <c r="O495" s="620">
        <v>17</v>
      </c>
      <c r="P495" s="623">
        <v>0.17</v>
      </c>
      <c r="Q495" s="620">
        <v>25</v>
      </c>
      <c r="R495" s="623">
        <v>0.25</v>
      </c>
      <c r="S495" s="620">
        <v>0</v>
      </c>
      <c r="T495" s="623">
        <v>0</v>
      </c>
      <c r="U495" s="620">
        <v>1</v>
      </c>
      <c r="V495" s="623">
        <v>0.01</v>
      </c>
    </row>
    <row r="496" spans="2:37" ht="21.75" thickBot="1" x14ac:dyDescent="0.3">
      <c r="B496" s="609">
        <v>37204005</v>
      </c>
      <c r="C496" s="894" t="s">
        <v>707</v>
      </c>
      <c r="D496" s="894"/>
      <c r="E496" s="610" t="s">
        <v>283</v>
      </c>
      <c r="F496" s="609" t="s">
        <v>592</v>
      </c>
      <c r="G496" s="950">
        <v>80</v>
      </c>
      <c r="H496" s="950"/>
      <c r="I496" s="950" t="s">
        <v>593</v>
      </c>
      <c r="J496" s="950"/>
      <c r="K496" s="609">
        <v>42</v>
      </c>
      <c r="L496" s="612">
        <v>0.52500000000000002</v>
      </c>
      <c r="M496" s="609">
        <v>9</v>
      </c>
      <c r="N496" s="612">
        <v>0.1125</v>
      </c>
      <c r="O496" s="609">
        <v>4</v>
      </c>
      <c r="P496" s="612">
        <v>0.05</v>
      </c>
      <c r="Q496" s="609">
        <v>24</v>
      </c>
      <c r="R496" s="612">
        <v>0.3</v>
      </c>
      <c r="S496" s="609">
        <v>0</v>
      </c>
      <c r="T496" s="612">
        <v>0</v>
      </c>
      <c r="U496" s="609">
        <v>1</v>
      </c>
      <c r="V496" s="612">
        <v>1.2500000000000001E-2</v>
      </c>
    </row>
    <row r="497" spans="2:22" ht="24.75" customHeight="1" thickBot="1" x14ac:dyDescent="0.3">
      <c r="B497" s="609">
        <v>37204002</v>
      </c>
      <c r="C497" s="894" t="s">
        <v>708</v>
      </c>
      <c r="D497" s="894"/>
      <c r="E497" s="610" t="s">
        <v>283</v>
      </c>
      <c r="F497" s="609" t="s">
        <v>199</v>
      </c>
      <c r="G497" s="950">
        <v>61</v>
      </c>
      <c r="H497" s="950"/>
      <c r="I497" s="950" t="s">
        <v>593</v>
      </c>
      <c r="J497" s="950"/>
      <c r="K497" s="609">
        <v>17</v>
      </c>
      <c r="L497" s="612">
        <v>0.27868852459016391</v>
      </c>
      <c r="M497" s="609">
        <v>3</v>
      </c>
      <c r="N497" s="612">
        <v>4.9180327868852458E-2</v>
      </c>
      <c r="O497" s="609">
        <v>21</v>
      </c>
      <c r="P497" s="612">
        <v>0.34426229508196721</v>
      </c>
      <c r="Q497" s="609">
        <v>12</v>
      </c>
      <c r="R497" s="612">
        <v>0.19672131147540983</v>
      </c>
      <c r="S497" s="609">
        <v>6</v>
      </c>
      <c r="T497" s="612">
        <v>9.8360655737704916E-2</v>
      </c>
      <c r="U497" s="609">
        <v>2</v>
      </c>
      <c r="V497" s="612">
        <v>3.2786885245901641E-2</v>
      </c>
    </row>
    <row r="498" spans="2:22" ht="36.75" customHeight="1" thickBot="1" x14ac:dyDescent="0.3">
      <c r="B498" s="609">
        <v>37204006</v>
      </c>
      <c r="C498" s="894" t="s">
        <v>709</v>
      </c>
      <c r="D498" s="894"/>
      <c r="E498" s="610" t="s">
        <v>283</v>
      </c>
      <c r="F498" s="609" t="s">
        <v>592</v>
      </c>
      <c r="G498" s="950">
        <v>69</v>
      </c>
      <c r="H498" s="950"/>
      <c r="I498" s="950" t="s">
        <v>593</v>
      </c>
      <c r="J498" s="950"/>
      <c r="K498" s="609">
        <v>38</v>
      </c>
      <c r="L498" s="612">
        <v>0.55072463768115942</v>
      </c>
      <c r="M498" s="609">
        <v>4</v>
      </c>
      <c r="N498" s="612">
        <v>5.7971014492753624E-2</v>
      </c>
      <c r="O498" s="609">
        <v>18</v>
      </c>
      <c r="P498" s="612">
        <v>0.2608695652173913</v>
      </c>
      <c r="Q498" s="609">
        <v>6</v>
      </c>
      <c r="R498" s="612">
        <v>8.6956521739130432E-2</v>
      </c>
      <c r="S498" s="609">
        <v>3</v>
      </c>
      <c r="T498" s="612">
        <v>4.3478260869565216E-2</v>
      </c>
      <c r="U498" s="609">
        <v>0</v>
      </c>
      <c r="V498" s="612">
        <v>0</v>
      </c>
    </row>
    <row r="499" spans="2:22" ht="34.5" customHeight="1" thickBot="1" x14ac:dyDescent="0.3">
      <c r="B499" s="609">
        <v>37204003</v>
      </c>
      <c r="C499" s="894" t="s">
        <v>710</v>
      </c>
      <c r="D499" s="894"/>
      <c r="E499" s="610" t="s">
        <v>283</v>
      </c>
      <c r="F499" s="609" t="s">
        <v>592</v>
      </c>
      <c r="G499" s="950">
        <v>91</v>
      </c>
      <c r="H499" s="950"/>
      <c r="I499" s="950" t="s">
        <v>593</v>
      </c>
      <c r="J499" s="950"/>
      <c r="K499" s="609">
        <v>37</v>
      </c>
      <c r="L499" s="612">
        <v>0.40659340659340659</v>
      </c>
      <c r="M499" s="609">
        <v>2</v>
      </c>
      <c r="N499" s="612">
        <v>2.197802197802198E-2</v>
      </c>
      <c r="O499" s="609">
        <v>2</v>
      </c>
      <c r="P499" s="612">
        <v>2.197802197802198E-2</v>
      </c>
      <c r="Q499" s="609">
        <v>50</v>
      </c>
      <c r="R499" s="612">
        <v>0.5494505494505495</v>
      </c>
      <c r="S499" s="609">
        <v>0</v>
      </c>
      <c r="T499" s="612">
        <v>0</v>
      </c>
      <c r="U499" s="609">
        <v>0</v>
      </c>
      <c r="V499" s="612">
        <v>0</v>
      </c>
    </row>
    <row r="500" spans="2:22" ht="21" customHeight="1" thickBot="1" x14ac:dyDescent="0.3">
      <c r="B500" s="609">
        <v>37204001</v>
      </c>
      <c r="C500" s="894" t="s">
        <v>711</v>
      </c>
      <c r="D500" s="894"/>
      <c r="E500" s="610" t="s">
        <v>283</v>
      </c>
      <c r="F500" s="609" t="s">
        <v>199</v>
      </c>
      <c r="G500" s="950">
        <v>92</v>
      </c>
      <c r="H500" s="950"/>
      <c r="I500" s="950" t="s">
        <v>593</v>
      </c>
      <c r="J500" s="950"/>
      <c r="K500" s="609">
        <v>35</v>
      </c>
      <c r="L500" s="612">
        <v>0.38043478260869568</v>
      </c>
      <c r="M500" s="609">
        <v>12</v>
      </c>
      <c r="N500" s="612">
        <v>0.13043478260869565</v>
      </c>
      <c r="O500" s="609">
        <v>0</v>
      </c>
      <c r="P500" s="612">
        <v>0</v>
      </c>
      <c r="Q500" s="609">
        <v>44</v>
      </c>
      <c r="R500" s="612">
        <v>0.47826086956521741</v>
      </c>
      <c r="S500" s="609">
        <v>0</v>
      </c>
      <c r="T500" s="612">
        <v>0</v>
      </c>
      <c r="U500" s="609">
        <v>1</v>
      </c>
      <c r="V500" s="612">
        <v>1.0869565217391304E-2</v>
      </c>
    </row>
    <row r="501" spans="2:22" ht="28.5" customHeight="1" thickBot="1" x14ac:dyDescent="0.3">
      <c r="B501" s="609">
        <v>37204112</v>
      </c>
      <c r="C501" s="894" t="s">
        <v>712</v>
      </c>
      <c r="D501" s="894"/>
      <c r="E501" s="610" t="s">
        <v>309</v>
      </c>
      <c r="F501" s="609" t="s">
        <v>199</v>
      </c>
      <c r="G501" s="950">
        <v>66</v>
      </c>
      <c r="H501" s="950"/>
      <c r="I501" s="950" t="s">
        <v>593</v>
      </c>
      <c r="J501" s="950"/>
      <c r="K501" s="609">
        <v>43</v>
      </c>
      <c r="L501" s="612">
        <v>0.65151515151515149</v>
      </c>
      <c r="M501" s="609">
        <v>0</v>
      </c>
      <c r="N501" s="612">
        <v>0</v>
      </c>
      <c r="O501" s="609">
        <v>18</v>
      </c>
      <c r="P501" s="612">
        <v>0.27272727272727271</v>
      </c>
      <c r="Q501" s="609">
        <v>3</v>
      </c>
      <c r="R501" s="612">
        <v>4.5454545454545456E-2</v>
      </c>
      <c r="S501" s="609">
        <v>2</v>
      </c>
      <c r="T501" s="612">
        <v>3.0303030303030304E-2</v>
      </c>
      <c r="U501" s="609">
        <v>0</v>
      </c>
      <c r="V501" s="612">
        <v>0</v>
      </c>
    </row>
    <row r="502" spans="2:22" ht="38.25" customHeight="1" thickBot="1" x14ac:dyDescent="0.3">
      <c r="B502" s="609">
        <v>37204122</v>
      </c>
      <c r="C502" s="894" t="s">
        <v>713</v>
      </c>
      <c r="D502" s="894"/>
      <c r="E502" s="610" t="s">
        <v>309</v>
      </c>
      <c r="F502" s="609" t="s">
        <v>592</v>
      </c>
      <c r="G502" s="950">
        <v>61</v>
      </c>
      <c r="H502" s="950"/>
      <c r="I502" s="950" t="s">
        <v>593</v>
      </c>
      <c r="J502" s="950"/>
      <c r="K502" s="609">
        <v>13</v>
      </c>
      <c r="L502" s="612">
        <v>0.21311475409836064</v>
      </c>
      <c r="M502" s="609">
        <v>0</v>
      </c>
      <c r="N502" s="612">
        <v>0</v>
      </c>
      <c r="O502" s="609">
        <v>43</v>
      </c>
      <c r="P502" s="612">
        <v>0.70491803278688525</v>
      </c>
      <c r="Q502" s="609">
        <v>1</v>
      </c>
      <c r="R502" s="612">
        <v>1.6393442622950821E-2</v>
      </c>
      <c r="S502" s="609">
        <v>1</v>
      </c>
      <c r="T502" s="612">
        <v>1.6393442622950821E-2</v>
      </c>
      <c r="U502" s="609">
        <v>3</v>
      </c>
      <c r="V502" s="612">
        <v>4.9180327868852458E-2</v>
      </c>
    </row>
    <row r="503" spans="2:22" ht="38.25" customHeight="1" thickBot="1" x14ac:dyDescent="0.3">
      <c r="B503" s="609">
        <v>37204123</v>
      </c>
      <c r="C503" s="894" t="s">
        <v>714</v>
      </c>
      <c r="D503" s="894"/>
      <c r="E503" s="610" t="s">
        <v>309</v>
      </c>
      <c r="F503" s="609" t="s">
        <v>592</v>
      </c>
      <c r="G503" s="950">
        <v>64</v>
      </c>
      <c r="H503" s="950"/>
      <c r="I503" s="950" t="s">
        <v>593</v>
      </c>
      <c r="J503" s="950"/>
      <c r="K503" s="609">
        <v>9</v>
      </c>
      <c r="L503" s="612">
        <v>0.140625</v>
      </c>
      <c r="M503" s="609">
        <v>4</v>
      </c>
      <c r="N503" s="612">
        <v>6.25E-2</v>
      </c>
      <c r="O503" s="609">
        <v>45</v>
      </c>
      <c r="P503" s="612">
        <v>0.703125</v>
      </c>
      <c r="Q503" s="609">
        <v>0</v>
      </c>
      <c r="R503" s="612">
        <v>0</v>
      </c>
      <c r="S503" s="609">
        <v>6</v>
      </c>
      <c r="T503" s="612">
        <v>9.375E-2</v>
      </c>
      <c r="U503" s="609">
        <v>0</v>
      </c>
      <c r="V503" s="612">
        <v>0</v>
      </c>
    </row>
    <row r="504" spans="2:22" ht="28.5" customHeight="1" x14ac:dyDescent="0.25">
      <c r="B504" s="650">
        <v>37204132</v>
      </c>
      <c r="C504" s="953" t="s">
        <v>715</v>
      </c>
      <c r="D504" s="953"/>
      <c r="E504" s="651" t="s">
        <v>309</v>
      </c>
      <c r="F504" s="650" t="s">
        <v>592</v>
      </c>
      <c r="G504" s="954">
        <v>63</v>
      </c>
      <c r="H504" s="954"/>
      <c r="I504" s="954" t="s">
        <v>593</v>
      </c>
      <c r="J504" s="954"/>
      <c r="K504" s="650">
        <v>35</v>
      </c>
      <c r="L504" s="652">
        <v>0.55555555555555558</v>
      </c>
      <c r="M504" s="650">
        <v>5</v>
      </c>
      <c r="N504" s="652">
        <v>7.9365079365079361E-2</v>
      </c>
      <c r="O504" s="650">
        <v>17</v>
      </c>
      <c r="P504" s="652">
        <v>0.26984126984126983</v>
      </c>
      <c r="Q504" s="650">
        <v>3</v>
      </c>
      <c r="R504" s="652">
        <v>4.7619047619047616E-2</v>
      </c>
      <c r="S504" s="650">
        <v>3</v>
      </c>
      <c r="T504" s="652">
        <v>4.7619047619047616E-2</v>
      </c>
      <c r="U504" s="650">
        <v>0</v>
      </c>
      <c r="V504" s="652">
        <v>0</v>
      </c>
    </row>
    <row r="505" spans="2:22" ht="21.75" thickBot="1" x14ac:dyDescent="0.3">
      <c r="B505" s="622">
        <v>37204007</v>
      </c>
      <c r="C505" s="894" t="s">
        <v>716</v>
      </c>
      <c r="D505" s="894"/>
      <c r="E505" s="621" t="s">
        <v>283</v>
      </c>
      <c r="F505" s="622" t="s">
        <v>592</v>
      </c>
      <c r="G505" s="955">
        <v>65</v>
      </c>
      <c r="H505" s="955"/>
      <c r="I505" s="955" t="s">
        <v>593</v>
      </c>
      <c r="J505" s="955"/>
      <c r="K505" s="622">
        <v>30</v>
      </c>
      <c r="L505" s="623">
        <v>0.46153846153846156</v>
      </c>
      <c r="M505" s="622">
        <v>6</v>
      </c>
      <c r="N505" s="623">
        <v>9.2307692307692313E-2</v>
      </c>
      <c r="O505" s="622">
        <v>4</v>
      </c>
      <c r="P505" s="623">
        <v>6.1538461538461542E-2</v>
      </c>
      <c r="Q505" s="622">
        <v>25</v>
      </c>
      <c r="R505" s="623">
        <v>0.38461538461538464</v>
      </c>
      <c r="S505" s="622">
        <v>0</v>
      </c>
      <c r="T505" s="623">
        <v>0</v>
      </c>
      <c r="U505" s="622">
        <v>0</v>
      </c>
      <c r="V505" s="623">
        <v>0</v>
      </c>
    </row>
    <row r="506" spans="2:22" ht="15.75" thickBot="1" x14ac:dyDescent="0.3">
      <c r="B506" s="609">
        <v>37204103</v>
      </c>
      <c r="C506" s="894" t="s">
        <v>717</v>
      </c>
      <c r="D506" s="894"/>
      <c r="E506" s="610" t="s">
        <v>309</v>
      </c>
      <c r="F506" s="609" t="s">
        <v>592</v>
      </c>
      <c r="G506" s="950">
        <v>66</v>
      </c>
      <c r="H506" s="950"/>
      <c r="I506" s="950" t="s">
        <v>593</v>
      </c>
      <c r="J506" s="950"/>
      <c r="K506" s="609">
        <v>13</v>
      </c>
      <c r="L506" s="612">
        <v>0.19696969696969696</v>
      </c>
      <c r="M506" s="609">
        <v>4</v>
      </c>
      <c r="N506" s="612">
        <v>6.0606060606060608E-2</v>
      </c>
      <c r="O506" s="609">
        <v>28</v>
      </c>
      <c r="P506" s="612">
        <v>0.42424242424242425</v>
      </c>
      <c r="Q506" s="609">
        <v>21</v>
      </c>
      <c r="R506" s="612">
        <v>0.31818181818181818</v>
      </c>
      <c r="S506" s="609">
        <v>0</v>
      </c>
      <c r="T506" s="612">
        <v>0</v>
      </c>
      <c r="U506" s="609">
        <v>0</v>
      </c>
      <c r="V506" s="612">
        <v>0</v>
      </c>
    </row>
    <row r="507" spans="2:22" ht="15.75" thickBot="1" x14ac:dyDescent="0.3">
      <c r="B507" s="609">
        <v>37204101</v>
      </c>
      <c r="C507" s="894" t="s">
        <v>718</v>
      </c>
      <c r="D507" s="894"/>
      <c r="E507" s="610" t="s">
        <v>309</v>
      </c>
      <c r="F507" s="609" t="s">
        <v>592</v>
      </c>
      <c r="G507" s="950">
        <v>53</v>
      </c>
      <c r="H507" s="950"/>
      <c r="I507" s="950" t="s">
        <v>593</v>
      </c>
      <c r="J507" s="950"/>
      <c r="K507" s="609">
        <v>25</v>
      </c>
      <c r="L507" s="612">
        <v>0.47169811320754718</v>
      </c>
      <c r="M507" s="609">
        <v>2</v>
      </c>
      <c r="N507" s="612">
        <v>3.7735849056603772E-2</v>
      </c>
      <c r="O507" s="609">
        <v>22</v>
      </c>
      <c r="P507" s="612">
        <v>0.41509433962264153</v>
      </c>
      <c r="Q507" s="609">
        <v>1</v>
      </c>
      <c r="R507" s="612">
        <v>1.8867924528301886E-2</v>
      </c>
      <c r="S507" s="609">
        <v>3</v>
      </c>
      <c r="T507" s="612">
        <v>5.6603773584905662E-2</v>
      </c>
      <c r="U507" s="609">
        <v>0</v>
      </c>
      <c r="V507" s="612">
        <v>0</v>
      </c>
    </row>
    <row r="508" spans="2:22" ht="21.75" thickBot="1" x14ac:dyDescent="0.3">
      <c r="B508" s="609">
        <v>37204008</v>
      </c>
      <c r="C508" s="894" t="s">
        <v>719</v>
      </c>
      <c r="D508" s="894"/>
      <c r="E508" s="610" t="s">
        <v>283</v>
      </c>
      <c r="F508" s="609" t="s">
        <v>592</v>
      </c>
      <c r="G508" s="950">
        <v>46</v>
      </c>
      <c r="H508" s="950"/>
      <c r="I508" s="950" t="s">
        <v>593</v>
      </c>
      <c r="J508" s="950"/>
      <c r="K508" s="609">
        <v>36</v>
      </c>
      <c r="L508" s="612">
        <v>0.78260869565217395</v>
      </c>
      <c r="M508" s="609">
        <v>1</v>
      </c>
      <c r="N508" s="612">
        <v>2.1739130434782608E-2</v>
      </c>
      <c r="O508" s="609">
        <v>3</v>
      </c>
      <c r="P508" s="612">
        <v>6.5217391304347824E-2</v>
      </c>
      <c r="Q508" s="609">
        <v>6</v>
      </c>
      <c r="R508" s="612">
        <v>0.13043478260869565</v>
      </c>
      <c r="S508" s="609">
        <v>0</v>
      </c>
      <c r="T508" s="612">
        <v>0</v>
      </c>
      <c r="U508" s="609">
        <v>0</v>
      </c>
      <c r="V508" s="612">
        <v>0</v>
      </c>
    </row>
    <row r="509" spans="2:22" ht="36" customHeight="1" thickBot="1" x14ac:dyDescent="0.3">
      <c r="B509" s="609">
        <v>37204108</v>
      </c>
      <c r="C509" s="894" t="s">
        <v>720</v>
      </c>
      <c r="D509" s="894"/>
      <c r="E509" s="610" t="s">
        <v>309</v>
      </c>
      <c r="F509" s="609" t="s">
        <v>592</v>
      </c>
      <c r="G509" s="950">
        <v>53</v>
      </c>
      <c r="H509" s="950"/>
      <c r="I509" s="950" t="s">
        <v>593</v>
      </c>
      <c r="J509" s="950"/>
      <c r="K509" s="609">
        <v>19</v>
      </c>
      <c r="L509" s="612">
        <v>0.35849056603773582</v>
      </c>
      <c r="M509" s="609">
        <v>2</v>
      </c>
      <c r="N509" s="612">
        <v>3.7735849056603772E-2</v>
      </c>
      <c r="O509" s="609">
        <v>19</v>
      </c>
      <c r="P509" s="612">
        <v>0.35849056603773582</v>
      </c>
      <c r="Q509" s="609">
        <v>3</v>
      </c>
      <c r="R509" s="612">
        <v>5.6603773584905662E-2</v>
      </c>
      <c r="S509" s="609">
        <v>10</v>
      </c>
      <c r="T509" s="612">
        <v>0.18867924528301888</v>
      </c>
      <c r="U509" s="609">
        <v>0</v>
      </c>
      <c r="V509" s="612">
        <v>0</v>
      </c>
    </row>
    <row r="510" spans="2:22" ht="26.25" customHeight="1" thickBot="1" x14ac:dyDescent="0.3">
      <c r="B510" s="609">
        <v>37204115</v>
      </c>
      <c r="C510" s="894" t="s">
        <v>721</v>
      </c>
      <c r="D510" s="894"/>
      <c r="E510" s="610" t="s">
        <v>309</v>
      </c>
      <c r="F510" s="609" t="s">
        <v>592</v>
      </c>
      <c r="G510" s="950">
        <v>52</v>
      </c>
      <c r="H510" s="950"/>
      <c r="I510" s="950" t="s">
        <v>593</v>
      </c>
      <c r="J510" s="950"/>
      <c r="K510" s="609">
        <v>16</v>
      </c>
      <c r="L510" s="612">
        <v>0.30769230769230771</v>
      </c>
      <c r="M510" s="609">
        <v>2</v>
      </c>
      <c r="N510" s="612">
        <v>3.8461538461538464E-2</v>
      </c>
      <c r="O510" s="609">
        <v>34</v>
      </c>
      <c r="P510" s="612">
        <v>0.65384615384615385</v>
      </c>
      <c r="Q510" s="609">
        <v>0</v>
      </c>
      <c r="R510" s="612">
        <v>0</v>
      </c>
      <c r="S510" s="609">
        <v>0</v>
      </c>
      <c r="T510" s="612">
        <v>0</v>
      </c>
      <c r="U510" s="609">
        <v>0</v>
      </c>
      <c r="V510" s="612">
        <v>0</v>
      </c>
    </row>
    <row r="511" spans="2:22" ht="33.75" customHeight="1" thickBot="1" x14ac:dyDescent="0.3">
      <c r="B511" s="609">
        <v>37204119</v>
      </c>
      <c r="C511" s="894" t="s">
        <v>722</v>
      </c>
      <c r="D511" s="894"/>
      <c r="E511" s="610" t="s">
        <v>309</v>
      </c>
      <c r="F511" s="609" t="s">
        <v>199</v>
      </c>
      <c r="G511" s="950">
        <v>52</v>
      </c>
      <c r="H511" s="950"/>
      <c r="I511" s="950" t="s">
        <v>593</v>
      </c>
      <c r="J511" s="950"/>
      <c r="K511" s="609">
        <v>14</v>
      </c>
      <c r="L511" s="612">
        <v>0.26923076923076922</v>
      </c>
      <c r="M511" s="609">
        <v>4</v>
      </c>
      <c r="N511" s="612">
        <v>7.6923076923076927E-2</v>
      </c>
      <c r="O511" s="609">
        <v>24</v>
      </c>
      <c r="P511" s="612">
        <v>0.46153846153846156</v>
      </c>
      <c r="Q511" s="609">
        <v>1</v>
      </c>
      <c r="R511" s="612">
        <v>1.9230769230769232E-2</v>
      </c>
      <c r="S511" s="609">
        <v>9</v>
      </c>
      <c r="T511" s="612">
        <v>0.17307692307692307</v>
      </c>
      <c r="U511" s="609">
        <v>0</v>
      </c>
      <c r="V511" s="612">
        <v>0</v>
      </c>
    </row>
    <row r="512" spans="2:22" ht="15.75" thickBot="1" x14ac:dyDescent="0.3">
      <c r="B512" s="609">
        <v>37204102</v>
      </c>
      <c r="C512" s="894" t="s">
        <v>723</v>
      </c>
      <c r="D512" s="894"/>
      <c r="E512" s="610" t="s">
        <v>309</v>
      </c>
      <c r="F512" s="609" t="s">
        <v>199</v>
      </c>
      <c r="G512" s="950">
        <v>64</v>
      </c>
      <c r="H512" s="950"/>
      <c r="I512" s="950" t="s">
        <v>593</v>
      </c>
      <c r="J512" s="950"/>
      <c r="K512" s="609">
        <v>15</v>
      </c>
      <c r="L512" s="612">
        <v>0.234375</v>
      </c>
      <c r="M512" s="609">
        <v>2</v>
      </c>
      <c r="N512" s="612">
        <v>3.125E-2</v>
      </c>
      <c r="O512" s="609">
        <v>12</v>
      </c>
      <c r="P512" s="612">
        <v>0.1875</v>
      </c>
      <c r="Q512" s="609">
        <v>35</v>
      </c>
      <c r="R512" s="612">
        <v>0.546875</v>
      </c>
      <c r="S512" s="609">
        <v>0</v>
      </c>
      <c r="T512" s="612">
        <v>0</v>
      </c>
      <c r="U512" s="609">
        <v>0</v>
      </c>
      <c r="V512" s="612">
        <v>0</v>
      </c>
    </row>
    <row r="513" spans="2:22" ht="15.75" thickBot="1" x14ac:dyDescent="0.3">
      <c r="B513" s="609">
        <v>37204125</v>
      </c>
      <c r="C513" s="894" t="s">
        <v>724</v>
      </c>
      <c r="D513" s="894"/>
      <c r="E513" s="610" t="s">
        <v>309</v>
      </c>
      <c r="F513" s="609" t="s">
        <v>199</v>
      </c>
      <c r="G513" s="950">
        <v>44</v>
      </c>
      <c r="H513" s="950"/>
      <c r="I513" s="950" t="s">
        <v>621</v>
      </c>
      <c r="J513" s="950"/>
      <c r="K513" s="609">
        <v>5</v>
      </c>
      <c r="L513" s="612">
        <v>0.11363636363636363</v>
      </c>
      <c r="M513" s="609">
        <v>1</v>
      </c>
      <c r="N513" s="612">
        <v>2.2727272727272728E-2</v>
      </c>
      <c r="O513" s="609">
        <v>24</v>
      </c>
      <c r="P513" s="612">
        <v>0.54545454545454541</v>
      </c>
      <c r="Q513" s="609">
        <v>0</v>
      </c>
      <c r="R513" s="612">
        <v>0</v>
      </c>
      <c r="S513" s="609">
        <v>14</v>
      </c>
      <c r="T513" s="612">
        <v>0.31818181818181818</v>
      </c>
      <c r="U513" s="609">
        <v>0</v>
      </c>
      <c r="V513" s="612">
        <v>0</v>
      </c>
    </row>
    <row r="514" spans="2:22" ht="34.5" customHeight="1" thickBot="1" x14ac:dyDescent="0.3">
      <c r="B514" s="609">
        <v>37204124</v>
      </c>
      <c r="C514" s="894" t="s">
        <v>725</v>
      </c>
      <c r="D514" s="894"/>
      <c r="E514" s="610" t="s">
        <v>309</v>
      </c>
      <c r="F514" s="609" t="s">
        <v>592</v>
      </c>
      <c r="G514" s="950">
        <v>49</v>
      </c>
      <c r="H514" s="950"/>
      <c r="I514" s="950" t="s">
        <v>593</v>
      </c>
      <c r="J514" s="950"/>
      <c r="K514" s="609">
        <v>13</v>
      </c>
      <c r="L514" s="612">
        <v>0.26530612244897961</v>
      </c>
      <c r="M514" s="609">
        <v>0</v>
      </c>
      <c r="N514" s="612">
        <v>0</v>
      </c>
      <c r="O514" s="609">
        <v>27</v>
      </c>
      <c r="P514" s="612">
        <v>0.55102040816326525</v>
      </c>
      <c r="Q514" s="609">
        <v>0</v>
      </c>
      <c r="R514" s="612">
        <v>0</v>
      </c>
      <c r="S514" s="609">
        <v>9</v>
      </c>
      <c r="T514" s="612">
        <v>0.18367346938775511</v>
      </c>
      <c r="U514" s="609">
        <v>0</v>
      </c>
      <c r="V514" s="612">
        <v>0</v>
      </c>
    </row>
    <row r="515" spans="2:22" ht="21.75" thickBot="1" x14ac:dyDescent="0.3">
      <c r="B515" s="609">
        <v>37204009</v>
      </c>
      <c r="C515" s="894" t="s">
        <v>726</v>
      </c>
      <c r="D515" s="894"/>
      <c r="E515" s="610" t="s">
        <v>283</v>
      </c>
      <c r="F515" s="609" t="s">
        <v>592</v>
      </c>
      <c r="G515" s="950">
        <v>46</v>
      </c>
      <c r="H515" s="950"/>
      <c r="I515" s="950" t="s">
        <v>593</v>
      </c>
      <c r="J515" s="950"/>
      <c r="K515" s="609">
        <v>27</v>
      </c>
      <c r="L515" s="612">
        <v>0.58695652173913049</v>
      </c>
      <c r="M515" s="609">
        <v>1</v>
      </c>
      <c r="N515" s="612">
        <v>2.1739130434782608E-2</v>
      </c>
      <c r="O515" s="609">
        <v>15</v>
      </c>
      <c r="P515" s="612">
        <v>0.32608695652173914</v>
      </c>
      <c r="Q515" s="609">
        <v>0</v>
      </c>
      <c r="R515" s="612">
        <v>0</v>
      </c>
      <c r="S515" s="609">
        <v>3</v>
      </c>
      <c r="T515" s="612">
        <v>6.5217391304347824E-2</v>
      </c>
      <c r="U515" s="609">
        <v>0</v>
      </c>
      <c r="V515" s="612">
        <v>0</v>
      </c>
    </row>
    <row r="516" spans="2:22" ht="25.5" customHeight="1" x14ac:dyDescent="0.25">
      <c r="B516" s="650">
        <v>37204133</v>
      </c>
      <c r="C516" s="953" t="s">
        <v>727</v>
      </c>
      <c r="D516" s="953"/>
      <c r="E516" s="651" t="s">
        <v>309</v>
      </c>
      <c r="F516" s="650" t="s">
        <v>592</v>
      </c>
      <c r="G516" s="954">
        <v>54</v>
      </c>
      <c r="H516" s="954"/>
      <c r="I516" s="954" t="s">
        <v>593</v>
      </c>
      <c r="J516" s="954"/>
      <c r="K516" s="650">
        <v>11</v>
      </c>
      <c r="L516" s="652">
        <v>0.20370370370370369</v>
      </c>
      <c r="M516" s="650">
        <v>3</v>
      </c>
      <c r="N516" s="652">
        <v>5.5555555555555552E-2</v>
      </c>
      <c r="O516" s="650">
        <v>21</v>
      </c>
      <c r="P516" s="652">
        <v>0.3888888888888889</v>
      </c>
      <c r="Q516" s="650">
        <v>0</v>
      </c>
      <c r="R516" s="652">
        <v>0</v>
      </c>
      <c r="S516" s="650">
        <v>19</v>
      </c>
      <c r="T516" s="652">
        <v>0.35185185185185186</v>
      </c>
      <c r="U516" s="650">
        <v>0</v>
      </c>
      <c r="V516" s="652">
        <v>0</v>
      </c>
    </row>
    <row r="517" spans="2:22" ht="23.25" customHeight="1" thickBot="1" x14ac:dyDescent="0.3">
      <c r="B517" s="622">
        <v>37204111</v>
      </c>
      <c r="C517" s="894" t="s">
        <v>728</v>
      </c>
      <c r="D517" s="894"/>
      <c r="E517" s="621" t="s">
        <v>309</v>
      </c>
      <c r="F517" s="622" t="s">
        <v>592</v>
      </c>
      <c r="G517" s="955">
        <v>74</v>
      </c>
      <c r="H517" s="955"/>
      <c r="I517" s="955" t="s">
        <v>593</v>
      </c>
      <c r="J517" s="955"/>
      <c r="K517" s="622">
        <v>52</v>
      </c>
      <c r="L517" s="623">
        <v>0.70270270270270274</v>
      </c>
      <c r="M517" s="622">
        <v>1</v>
      </c>
      <c r="N517" s="623">
        <v>1.3513513513513514E-2</v>
      </c>
      <c r="O517" s="622">
        <v>17</v>
      </c>
      <c r="P517" s="623">
        <v>0.22972972972972974</v>
      </c>
      <c r="Q517" s="622">
        <v>3</v>
      </c>
      <c r="R517" s="623">
        <v>4.0540540540540543E-2</v>
      </c>
      <c r="S517" s="622">
        <v>1</v>
      </c>
      <c r="T517" s="623">
        <v>1.3513513513513514E-2</v>
      </c>
      <c r="U517" s="622">
        <v>0</v>
      </c>
      <c r="V517" s="623">
        <v>0</v>
      </c>
    </row>
    <row r="518" spans="2:22" ht="37.5" customHeight="1" thickBot="1" x14ac:dyDescent="0.3">
      <c r="B518" s="609">
        <v>37204135</v>
      </c>
      <c r="C518" s="894" t="s">
        <v>729</v>
      </c>
      <c r="D518" s="894"/>
      <c r="E518" s="610" t="s">
        <v>309</v>
      </c>
      <c r="F518" s="609" t="s">
        <v>592</v>
      </c>
      <c r="G518" s="950">
        <v>51</v>
      </c>
      <c r="H518" s="950"/>
      <c r="I518" s="950" t="s">
        <v>593</v>
      </c>
      <c r="J518" s="950"/>
      <c r="K518" s="609">
        <v>20</v>
      </c>
      <c r="L518" s="612">
        <v>0.39215686274509803</v>
      </c>
      <c r="M518" s="609">
        <v>0</v>
      </c>
      <c r="N518" s="612">
        <v>0</v>
      </c>
      <c r="O518" s="609">
        <v>26</v>
      </c>
      <c r="P518" s="612">
        <v>0.50980392156862742</v>
      </c>
      <c r="Q518" s="609">
        <v>0</v>
      </c>
      <c r="R518" s="612">
        <v>0</v>
      </c>
      <c r="S518" s="609">
        <v>5</v>
      </c>
      <c r="T518" s="612">
        <v>9.8039215686274508E-2</v>
      </c>
      <c r="U518" s="609">
        <v>0</v>
      </c>
      <c r="V518" s="612">
        <v>0</v>
      </c>
    </row>
    <row r="519" spans="2:22" ht="33.75" customHeight="1" thickBot="1" x14ac:dyDescent="0.3">
      <c r="B519" s="609">
        <v>37204105</v>
      </c>
      <c r="C519" s="894" t="s">
        <v>730</v>
      </c>
      <c r="D519" s="894"/>
      <c r="E519" s="610" t="s">
        <v>309</v>
      </c>
      <c r="F519" s="609" t="s">
        <v>592</v>
      </c>
      <c r="G519" s="950">
        <v>52</v>
      </c>
      <c r="H519" s="950"/>
      <c r="I519" s="950" t="s">
        <v>593</v>
      </c>
      <c r="J519" s="950"/>
      <c r="K519" s="609">
        <v>14</v>
      </c>
      <c r="L519" s="612">
        <v>0.26923076923076922</v>
      </c>
      <c r="M519" s="609">
        <v>0</v>
      </c>
      <c r="N519" s="612">
        <v>0</v>
      </c>
      <c r="O519" s="609">
        <v>26</v>
      </c>
      <c r="P519" s="612">
        <v>0.5</v>
      </c>
      <c r="Q519" s="609">
        <v>1</v>
      </c>
      <c r="R519" s="612">
        <v>1.9230769230769232E-2</v>
      </c>
      <c r="S519" s="609">
        <v>9</v>
      </c>
      <c r="T519" s="612">
        <v>0.17307692307692307</v>
      </c>
      <c r="U519" s="609">
        <v>2</v>
      </c>
      <c r="V519" s="612">
        <v>3.8461538461538464E-2</v>
      </c>
    </row>
    <row r="520" spans="2:22" ht="28.5" customHeight="1" thickBot="1" x14ac:dyDescent="0.3">
      <c r="B520" s="609">
        <v>37204113</v>
      </c>
      <c r="C520" s="894" t="s">
        <v>731</v>
      </c>
      <c r="D520" s="894"/>
      <c r="E520" s="610" t="s">
        <v>309</v>
      </c>
      <c r="F520" s="609" t="s">
        <v>592</v>
      </c>
      <c r="G520" s="950">
        <v>50</v>
      </c>
      <c r="H520" s="950"/>
      <c r="I520" s="950" t="s">
        <v>593</v>
      </c>
      <c r="J520" s="950"/>
      <c r="K520" s="609">
        <v>2</v>
      </c>
      <c r="L520" s="612">
        <v>0.04</v>
      </c>
      <c r="M520" s="609">
        <v>0</v>
      </c>
      <c r="N520" s="612">
        <v>0</v>
      </c>
      <c r="O520" s="609">
        <v>42</v>
      </c>
      <c r="P520" s="612">
        <v>0.84</v>
      </c>
      <c r="Q520" s="609">
        <v>0</v>
      </c>
      <c r="R520" s="612">
        <v>0</v>
      </c>
      <c r="S520" s="609">
        <v>6</v>
      </c>
      <c r="T520" s="612">
        <v>0.12</v>
      </c>
      <c r="U520" s="609">
        <v>0</v>
      </c>
      <c r="V520" s="612">
        <v>0</v>
      </c>
    </row>
    <row r="521" spans="2:22" ht="37.5" customHeight="1" thickBot="1" x14ac:dyDescent="0.3">
      <c r="B521" s="609">
        <v>37204121</v>
      </c>
      <c r="C521" s="894" t="s">
        <v>732</v>
      </c>
      <c r="D521" s="894"/>
      <c r="E521" s="610" t="s">
        <v>309</v>
      </c>
      <c r="F521" s="609" t="s">
        <v>592</v>
      </c>
      <c r="G521" s="950">
        <v>55</v>
      </c>
      <c r="H521" s="950"/>
      <c r="I521" s="950" t="s">
        <v>593</v>
      </c>
      <c r="J521" s="950"/>
      <c r="K521" s="609">
        <v>5</v>
      </c>
      <c r="L521" s="612">
        <v>9.0909090909090912E-2</v>
      </c>
      <c r="M521" s="609">
        <v>0</v>
      </c>
      <c r="N521" s="612">
        <v>0</v>
      </c>
      <c r="O521" s="609">
        <v>49</v>
      </c>
      <c r="P521" s="612">
        <v>0.89090909090909087</v>
      </c>
      <c r="Q521" s="609">
        <v>0</v>
      </c>
      <c r="R521" s="612">
        <v>0</v>
      </c>
      <c r="S521" s="609">
        <v>0</v>
      </c>
      <c r="T521" s="612">
        <v>0</v>
      </c>
      <c r="U521" s="609">
        <v>1</v>
      </c>
      <c r="V521" s="612">
        <v>1.8181818181818181E-2</v>
      </c>
    </row>
    <row r="522" spans="2:22" ht="15.75" thickBot="1" x14ac:dyDescent="0.3">
      <c r="B522" s="609">
        <v>37204106</v>
      </c>
      <c r="C522" s="894" t="s">
        <v>733</v>
      </c>
      <c r="D522" s="894"/>
      <c r="E522" s="610" t="s">
        <v>309</v>
      </c>
      <c r="F522" s="609" t="s">
        <v>592</v>
      </c>
      <c r="G522" s="950">
        <v>56</v>
      </c>
      <c r="H522" s="950"/>
      <c r="I522" s="950" t="s">
        <v>593</v>
      </c>
      <c r="J522" s="950"/>
      <c r="K522" s="609">
        <v>37</v>
      </c>
      <c r="L522" s="612">
        <v>0.6607142857142857</v>
      </c>
      <c r="M522" s="609">
        <v>1</v>
      </c>
      <c r="N522" s="612">
        <v>1.7857142857142856E-2</v>
      </c>
      <c r="O522" s="609">
        <v>14</v>
      </c>
      <c r="P522" s="612">
        <v>0.25</v>
      </c>
      <c r="Q522" s="609">
        <v>1</v>
      </c>
      <c r="R522" s="612">
        <v>1.7857142857142856E-2</v>
      </c>
      <c r="S522" s="609">
        <v>2</v>
      </c>
      <c r="T522" s="612">
        <v>3.5714285714285712E-2</v>
      </c>
      <c r="U522" s="609">
        <v>1</v>
      </c>
      <c r="V522" s="612">
        <v>1.7857142857142856E-2</v>
      </c>
    </row>
    <row r="523" spans="2:22" ht="15.75" thickBot="1" x14ac:dyDescent="0.3">
      <c r="B523" s="609">
        <v>37204104</v>
      </c>
      <c r="C523" s="894" t="s">
        <v>734</v>
      </c>
      <c r="D523" s="894"/>
      <c r="E523" s="610" t="s">
        <v>309</v>
      </c>
      <c r="F523" s="609" t="s">
        <v>199</v>
      </c>
      <c r="G523" s="950">
        <v>58</v>
      </c>
      <c r="H523" s="950"/>
      <c r="I523" s="950" t="s">
        <v>593</v>
      </c>
      <c r="J523" s="950"/>
      <c r="K523" s="609">
        <v>10</v>
      </c>
      <c r="L523" s="612">
        <v>0.17241379310344829</v>
      </c>
      <c r="M523" s="609">
        <v>1</v>
      </c>
      <c r="N523" s="612">
        <v>1.7241379310344827E-2</v>
      </c>
      <c r="O523" s="609">
        <v>41</v>
      </c>
      <c r="P523" s="612">
        <v>0.7068965517241379</v>
      </c>
      <c r="Q523" s="609">
        <v>4</v>
      </c>
      <c r="R523" s="612">
        <v>6.8965517241379309E-2</v>
      </c>
      <c r="S523" s="609">
        <v>0</v>
      </c>
      <c r="T523" s="612">
        <v>0</v>
      </c>
      <c r="U523" s="609">
        <v>2</v>
      </c>
      <c r="V523" s="612">
        <v>3.4482758620689655E-2</v>
      </c>
    </row>
    <row r="524" spans="2:22" ht="36.75" customHeight="1" thickBot="1" x14ac:dyDescent="0.3">
      <c r="B524" s="609">
        <v>37204109</v>
      </c>
      <c r="C524" s="894" t="s">
        <v>735</v>
      </c>
      <c r="D524" s="894"/>
      <c r="E524" s="610" t="s">
        <v>309</v>
      </c>
      <c r="F524" s="609" t="s">
        <v>199</v>
      </c>
      <c r="G524" s="950">
        <v>13</v>
      </c>
      <c r="H524" s="950"/>
      <c r="I524" s="950" t="s">
        <v>593</v>
      </c>
      <c r="J524" s="950"/>
      <c r="K524" s="609">
        <v>4</v>
      </c>
      <c r="L524" s="612">
        <v>0.30769230769230771</v>
      </c>
      <c r="M524" s="609">
        <v>0</v>
      </c>
      <c r="N524" s="612">
        <v>0</v>
      </c>
      <c r="O524" s="609">
        <v>9</v>
      </c>
      <c r="P524" s="612">
        <v>0.69230769230769229</v>
      </c>
      <c r="Q524" s="609">
        <v>0</v>
      </c>
      <c r="R524" s="612">
        <v>0</v>
      </c>
      <c r="S524" s="609">
        <v>0</v>
      </c>
      <c r="T524" s="612">
        <v>0</v>
      </c>
      <c r="U524" s="609">
        <v>0</v>
      </c>
      <c r="V524" s="612">
        <v>0</v>
      </c>
    </row>
    <row r="525" spans="2:22" ht="38.25" customHeight="1" thickBot="1" x14ac:dyDescent="0.3">
      <c r="B525" s="609">
        <v>37204134</v>
      </c>
      <c r="C525" s="894" t="s">
        <v>736</v>
      </c>
      <c r="D525" s="894"/>
      <c r="E525" s="610" t="s">
        <v>309</v>
      </c>
      <c r="F525" s="609" t="s">
        <v>199</v>
      </c>
      <c r="G525" s="950">
        <v>50</v>
      </c>
      <c r="H525" s="950"/>
      <c r="I525" s="950" t="s">
        <v>737</v>
      </c>
      <c r="J525" s="950"/>
      <c r="K525" s="609">
        <v>21</v>
      </c>
      <c r="L525" s="612">
        <v>0.42</v>
      </c>
      <c r="M525" s="609">
        <v>0</v>
      </c>
      <c r="N525" s="612">
        <v>0</v>
      </c>
      <c r="O525" s="609">
        <v>25</v>
      </c>
      <c r="P525" s="612">
        <v>0.5</v>
      </c>
      <c r="Q525" s="609">
        <v>2</v>
      </c>
      <c r="R525" s="612">
        <v>0.04</v>
      </c>
      <c r="S525" s="609">
        <v>2</v>
      </c>
      <c r="T525" s="612">
        <v>0.04</v>
      </c>
      <c r="U525" s="609">
        <v>0</v>
      </c>
      <c r="V525" s="612">
        <v>0</v>
      </c>
    </row>
    <row r="526" spans="2:22" ht="15.75" thickBot="1" x14ac:dyDescent="0.3">
      <c r="B526" s="609">
        <v>37204107</v>
      </c>
      <c r="C526" s="894" t="s">
        <v>738</v>
      </c>
      <c r="D526" s="894"/>
      <c r="E526" s="610" t="s">
        <v>309</v>
      </c>
      <c r="F526" s="609" t="s">
        <v>199</v>
      </c>
      <c r="G526" s="950">
        <v>66</v>
      </c>
      <c r="H526" s="950"/>
      <c r="I526" s="950" t="s">
        <v>593</v>
      </c>
      <c r="J526" s="950"/>
      <c r="K526" s="609">
        <v>47</v>
      </c>
      <c r="L526" s="612">
        <v>0.71212121212121215</v>
      </c>
      <c r="M526" s="609">
        <v>0</v>
      </c>
      <c r="N526" s="612">
        <v>0</v>
      </c>
      <c r="O526" s="609">
        <v>15</v>
      </c>
      <c r="P526" s="612">
        <v>0.22727272727272727</v>
      </c>
      <c r="Q526" s="609">
        <v>4</v>
      </c>
      <c r="R526" s="612">
        <v>6.0606060606060608E-2</v>
      </c>
      <c r="S526" s="609">
        <v>0</v>
      </c>
      <c r="T526" s="612">
        <v>0</v>
      </c>
      <c r="U526" s="609">
        <v>0</v>
      </c>
      <c r="V526" s="612">
        <v>0</v>
      </c>
    </row>
    <row r="527" spans="2:22" ht="27" customHeight="1" thickBot="1" x14ac:dyDescent="0.3">
      <c r="B527" s="609">
        <v>37204126</v>
      </c>
      <c r="C527" s="894" t="s">
        <v>739</v>
      </c>
      <c r="D527" s="894"/>
      <c r="E527" s="610" t="s">
        <v>309</v>
      </c>
      <c r="F527" s="609" t="s">
        <v>199</v>
      </c>
      <c r="G527" s="950">
        <v>55</v>
      </c>
      <c r="H527" s="950"/>
      <c r="I527" s="950" t="s">
        <v>593</v>
      </c>
      <c r="J527" s="950"/>
      <c r="K527" s="609">
        <v>7</v>
      </c>
      <c r="L527" s="612">
        <v>0.12727272727272726</v>
      </c>
      <c r="M527" s="609">
        <v>0</v>
      </c>
      <c r="N527" s="612">
        <v>0</v>
      </c>
      <c r="O527" s="609">
        <v>46</v>
      </c>
      <c r="P527" s="612">
        <v>0.83636363636363631</v>
      </c>
      <c r="Q527" s="609">
        <v>1</v>
      </c>
      <c r="R527" s="612">
        <v>1.8181818181818181E-2</v>
      </c>
      <c r="S527" s="609">
        <v>1</v>
      </c>
      <c r="T527" s="612">
        <v>1.8181818181818181E-2</v>
      </c>
      <c r="U527" s="609">
        <v>0</v>
      </c>
      <c r="V527" s="612">
        <v>0</v>
      </c>
    </row>
    <row r="528" spans="2:22" ht="33" customHeight="1" thickBot="1" x14ac:dyDescent="0.3">
      <c r="B528" s="609">
        <v>37204110</v>
      </c>
      <c r="C528" s="894" t="s">
        <v>740</v>
      </c>
      <c r="D528" s="894"/>
      <c r="E528" s="610" t="s">
        <v>309</v>
      </c>
      <c r="F528" s="609" t="s">
        <v>199</v>
      </c>
      <c r="G528" s="950">
        <v>60</v>
      </c>
      <c r="H528" s="950"/>
      <c r="I528" s="950" t="s">
        <v>593</v>
      </c>
      <c r="J528" s="950"/>
      <c r="K528" s="609">
        <v>36</v>
      </c>
      <c r="L528" s="612">
        <v>0.6</v>
      </c>
      <c r="M528" s="609">
        <v>1</v>
      </c>
      <c r="N528" s="612">
        <v>1.6666666666666666E-2</v>
      </c>
      <c r="O528" s="609">
        <v>22</v>
      </c>
      <c r="P528" s="612">
        <v>0.36666666666666664</v>
      </c>
      <c r="Q528" s="609">
        <v>1</v>
      </c>
      <c r="R528" s="612">
        <v>1.6666666666666666E-2</v>
      </c>
      <c r="S528" s="609">
        <v>0</v>
      </c>
      <c r="T528" s="612">
        <v>0</v>
      </c>
      <c r="U528" s="609">
        <v>0</v>
      </c>
      <c r="V528" s="612">
        <v>0</v>
      </c>
    </row>
    <row r="529" spans="2:22" ht="15.75" thickBot="1" x14ac:dyDescent="0.3">
      <c r="B529" s="609">
        <v>37204211</v>
      </c>
      <c r="C529" s="894" t="s">
        <v>741</v>
      </c>
      <c r="D529" s="894"/>
      <c r="E529" s="610" t="s">
        <v>353</v>
      </c>
      <c r="F529" s="609" t="s">
        <v>592</v>
      </c>
      <c r="G529" s="950" t="s">
        <v>64</v>
      </c>
      <c r="H529" s="950"/>
      <c r="I529" s="950" t="s">
        <v>593</v>
      </c>
      <c r="J529" s="950"/>
      <c r="K529" s="609" t="s">
        <v>64</v>
      </c>
      <c r="L529" s="612" t="s">
        <v>64</v>
      </c>
      <c r="M529" s="609" t="s">
        <v>64</v>
      </c>
      <c r="N529" s="612" t="s">
        <v>64</v>
      </c>
      <c r="O529" s="609" t="s">
        <v>64</v>
      </c>
      <c r="P529" s="612" t="s">
        <v>64</v>
      </c>
      <c r="Q529" s="609" t="s">
        <v>64</v>
      </c>
      <c r="R529" s="612" t="s">
        <v>64</v>
      </c>
      <c r="S529" s="609" t="s">
        <v>64</v>
      </c>
      <c r="T529" s="612" t="s">
        <v>64</v>
      </c>
      <c r="U529" s="609" t="s">
        <v>64</v>
      </c>
      <c r="V529" s="612" t="s">
        <v>64</v>
      </c>
    </row>
    <row r="530" spans="2:22" ht="27.75" customHeight="1" thickBot="1" x14ac:dyDescent="0.3">
      <c r="B530" s="609">
        <v>37204218</v>
      </c>
      <c r="C530" s="894" t="s">
        <v>742</v>
      </c>
      <c r="D530" s="894"/>
      <c r="E530" s="610" t="s">
        <v>353</v>
      </c>
      <c r="F530" s="609" t="s">
        <v>592</v>
      </c>
      <c r="G530" s="950">
        <v>11</v>
      </c>
      <c r="H530" s="950"/>
      <c r="I530" s="950" t="s">
        <v>593</v>
      </c>
      <c r="J530" s="950"/>
      <c r="K530" s="609">
        <v>11</v>
      </c>
      <c r="L530" s="612">
        <v>1</v>
      </c>
      <c r="M530" s="609">
        <v>0</v>
      </c>
      <c r="N530" s="612">
        <v>0</v>
      </c>
      <c r="O530" s="609">
        <v>0</v>
      </c>
      <c r="P530" s="612">
        <v>0</v>
      </c>
      <c r="Q530" s="609">
        <v>0</v>
      </c>
      <c r="R530" s="612">
        <v>0</v>
      </c>
      <c r="S530" s="609">
        <v>0</v>
      </c>
      <c r="T530" s="612">
        <v>0</v>
      </c>
      <c r="U530" s="609">
        <v>0</v>
      </c>
      <c r="V530" s="612">
        <v>0</v>
      </c>
    </row>
    <row r="531" spans="2:22" ht="24.75" customHeight="1" x14ac:dyDescent="0.25">
      <c r="B531" s="650">
        <v>37204221</v>
      </c>
      <c r="C531" s="953" t="s">
        <v>743</v>
      </c>
      <c r="D531" s="953"/>
      <c r="E531" s="651" t="s">
        <v>353</v>
      </c>
      <c r="F531" s="650" t="s">
        <v>592</v>
      </c>
      <c r="G531" s="954">
        <v>18</v>
      </c>
      <c r="H531" s="954"/>
      <c r="I531" s="954" t="s">
        <v>593</v>
      </c>
      <c r="J531" s="954"/>
      <c r="K531" s="650">
        <v>12</v>
      </c>
      <c r="L531" s="652">
        <v>0.66666666666666663</v>
      </c>
      <c r="M531" s="650">
        <v>0</v>
      </c>
      <c r="N531" s="652">
        <v>0</v>
      </c>
      <c r="O531" s="650">
        <v>6</v>
      </c>
      <c r="P531" s="652">
        <v>0.33333333333333331</v>
      </c>
      <c r="Q531" s="650">
        <v>0</v>
      </c>
      <c r="R531" s="652">
        <v>0</v>
      </c>
      <c r="S531" s="650">
        <v>0</v>
      </c>
      <c r="T531" s="652">
        <v>0</v>
      </c>
      <c r="U531" s="650">
        <v>0</v>
      </c>
      <c r="V531" s="652">
        <v>0</v>
      </c>
    </row>
    <row r="532" spans="2:22" ht="24.75" customHeight="1" thickBot="1" x14ac:dyDescent="0.3">
      <c r="B532" s="622">
        <v>37204224</v>
      </c>
      <c r="C532" s="894" t="s">
        <v>755</v>
      </c>
      <c r="D532" s="894"/>
      <c r="E532" s="621" t="s">
        <v>353</v>
      </c>
      <c r="F532" s="622" t="s">
        <v>592</v>
      </c>
      <c r="G532" s="955">
        <v>20</v>
      </c>
      <c r="H532" s="955"/>
      <c r="I532" s="955" t="s">
        <v>593</v>
      </c>
      <c r="J532" s="955"/>
      <c r="K532" s="622">
        <v>16</v>
      </c>
      <c r="L532" s="623">
        <v>0.8</v>
      </c>
      <c r="M532" s="622">
        <v>0</v>
      </c>
      <c r="N532" s="623">
        <v>0</v>
      </c>
      <c r="O532" s="622">
        <v>4</v>
      </c>
      <c r="P532" s="623">
        <v>0.2</v>
      </c>
      <c r="Q532" s="622">
        <v>0</v>
      </c>
      <c r="R532" s="623">
        <v>0</v>
      </c>
      <c r="S532" s="622">
        <v>0</v>
      </c>
      <c r="T532" s="623">
        <v>0</v>
      </c>
      <c r="U532" s="622">
        <v>0</v>
      </c>
      <c r="V532" s="623">
        <v>0</v>
      </c>
    </row>
    <row r="533" spans="2:22" ht="15.75" thickBot="1" x14ac:dyDescent="0.3">
      <c r="B533" s="609">
        <v>37204116</v>
      </c>
      <c r="C533" s="894" t="s">
        <v>756</v>
      </c>
      <c r="D533" s="894"/>
      <c r="E533" s="610" t="s">
        <v>309</v>
      </c>
      <c r="F533" s="609" t="s">
        <v>592</v>
      </c>
      <c r="G533" s="950">
        <v>41</v>
      </c>
      <c r="H533" s="950"/>
      <c r="I533" s="950" t="s">
        <v>593</v>
      </c>
      <c r="J533" s="950"/>
      <c r="K533" s="609">
        <v>23</v>
      </c>
      <c r="L533" s="612">
        <v>0.56097560975609762</v>
      </c>
      <c r="M533" s="609">
        <v>1</v>
      </c>
      <c r="N533" s="612">
        <v>2.4390243902439025E-2</v>
      </c>
      <c r="O533" s="609">
        <v>16</v>
      </c>
      <c r="P533" s="612">
        <v>0.3902439024390244</v>
      </c>
      <c r="Q533" s="609">
        <v>0</v>
      </c>
      <c r="R533" s="612">
        <v>0</v>
      </c>
      <c r="S533" s="609">
        <v>1</v>
      </c>
      <c r="T533" s="612">
        <v>2.4390243902439025E-2</v>
      </c>
      <c r="U533" s="609">
        <v>0</v>
      </c>
      <c r="V533" s="612">
        <v>0</v>
      </c>
    </row>
    <row r="534" spans="2:22" ht="15.75" thickBot="1" x14ac:dyDescent="0.3">
      <c r="B534" s="609">
        <v>37204117</v>
      </c>
      <c r="C534" s="894" t="s">
        <v>757</v>
      </c>
      <c r="D534" s="894"/>
      <c r="E534" s="610" t="s">
        <v>309</v>
      </c>
      <c r="F534" s="609" t="s">
        <v>592</v>
      </c>
      <c r="G534" s="950">
        <v>50</v>
      </c>
      <c r="H534" s="950"/>
      <c r="I534" s="950" t="s">
        <v>593</v>
      </c>
      <c r="J534" s="950"/>
      <c r="K534" s="609">
        <v>30</v>
      </c>
      <c r="L534" s="612">
        <v>0.6</v>
      </c>
      <c r="M534" s="609">
        <v>1</v>
      </c>
      <c r="N534" s="612">
        <v>0.02</v>
      </c>
      <c r="O534" s="609">
        <v>14</v>
      </c>
      <c r="P534" s="612">
        <v>0.28000000000000003</v>
      </c>
      <c r="Q534" s="609">
        <v>3</v>
      </c>
      <c r="R534" s="612">
        <v>0.06</v>
      </c>
      <c r="S534" s="609">
        <v>2</v>
      </c>
      <c r="T534" s="612">
        <v>0.04</v>
      </c>
      <c r="U534" s="609">
        <v>0</v>
      </c>
      <c r="V534" s="612">
        <v>0</v>
      </c>
    </row>
    <row r="535" spans="2:22" ht="25.5" customHeight="1" thickBot="1" x14ac:dyDescent="0.3">
      <c r="B535" s="609">
        <v>37204118</v>
      </c>
      <c r="C535" s="894" t="s">
        <v>758</v>
      </c>
      <c r="D535" s="894"/>
      <c r="E535" s="610" t="s">
        <v>309</v>
      </c>
      <c r="F535" s="609" t="s">
        <v>592</v>
      </c>
      <c r="G535" s="950">
        <v>43</v>
      </c>
      <c r="H535" s="950"/>
      <c r="I535" s="950" t="s">
        <v>593</v>
      </c>
      <c r="J535" s="950"/>
      <c r="K535" s="609">
        <v>18</v>
      </c>
      <c r="L535" s="612">
        <v>0.41860465116279072</v>
      </c>
      <c r="M535" s="609">
        <v>0</v>
      </c>
      <c r="N535" s="612">
        <v>0</v>
      </c>
      <c r="O535" s="609">
        <v>18</v>
      </c>
      <c r="P535" s="612">
        <v>0.41860465116279072</v>
      </c>
      <c r="Q535" s="609">
        <v>0</v>
      </c>
      <c r="R535" s="612">
        <v>0</v>
      </c>
      <c r="S535" s="609">
        <v>5</v>
      </c>
      <c r="T535" s="612">
        <v>0.11627906976744186</v>
      </c>
      <c r="U535" s="609">
        <v>2</v>
      </c>
      <c r="V535" s="612">
        <v>4.6511627906976744E-2</v>
      </c>
    </row>
    <row r="536" spans="2:22" ht="24.75" customHeight="1" thickBot="1" x14ac:dyDescent="0.3">
      <c r="B536" s="609">
        <v>37204114</v>
      </c>
      <c r="C536" s="894" t="s">
        <v>759</v>
      </c>
      <c r="D536" s="894"/>
      <c r="E536" s="610" t="s">
        <v>309</v>
      </c>
      <c r="F536" s="609" t="s">
        <v>592</v>
      </c>
      <c r="G536" s="950">
        <v>45</v>
      </c>
      <c r="H536" s="950"/>
      <c r="I536" s="950" t="s">
        <v>593</v>
      </c>
      <c r="J536" s="950"/>
      <c r="K536" s="609">
        <v>1</v>
      </c>
      <c r="L536" s="612">
        <v>2.2222222222222223E-2</v>
      </c>
      <c r="M536" s="609">
        <v>0</v>
      </c>
      <c r="N536" s="612">
        <v>0</v>
      </c>
      <c r="O536" s="609">
        <v>44</v>
      </c>
      <c r="P536" s="612">
        <v>0.97777777777777775</v>
      </c>
      <c r="Q536" s="609">
        <v>0</v>
      </c>
      <c r="R536" s="612">
        <v>0</v>
      </c>
      <c r="S536" s="609">
        <v>0</v>
      </c>
      <c r="T536" s="612">
        <v>0</v>
      </c>
      <c r="U536" s="609">
        <v>0</v>
      </c>
      <c r="V536" s="612">
        <v>0</v>
      </c>
    </row>
    <row r="537" spans="2:22" ht="46.5" customHeight="1" thickBot="1" x14ac:dyDescent="0.3">
      <c r="B537" s="609">
        <v>37204130</v>
      </c>
      <c r="C537" s="894" t="s">
        <v>747</v>
      </c>
      <c r="D537" s="894"/>
      <c r="E537" s="610" t="s">
        <v>309</v>
      </c>
      <c r="F537" s="609" t="s">
        <v>592</v>
      </c>
      <c r="G537" s="950">
        <v>29</v>
      </c>
      <c r="H537" s="950"/>
      <c r="I537" s="950" t="s">
        <v>593</v>
      </c>
      <c r="J537" s="950"/>
      <c r="K537" s="609">
        <v>2</v>
      </c>
      <c r="L537" s="612">
        <v>6.8965517241379309E-2</v>
      </c>
      <c r="M537" s="609">
        <v>3</v>
      </c>
      <c r="N537" s="612">
        <v>0.10344827586206896</v>
      </c>
      <c r="O537" s="609">
        <v>16</v>
      </c>
      <c r="P537" s="612">
        <v>0.55172413793103448</v>
      </c>
      <c r="Q537" s="609">
        <v>0</v>
      </c>
      <c r="R537" s="612">
        <v>0</v>
      </c>
      <c r="S537" s="609">
        <v>8</v>
      </c>
      <c r="T537" s="612">
        <v>0.27586206896551724</v>
      </c>
      <c r="U537" s="609">
        <v>0</v>
      </c>
      <c r="V537" s="612">
        <v>0</v>
      </c>
    </row>
    <row r="538" spans="2:22" ht="27.75" customHeight="1" thickBot="1" x14ac:dyDescent="0.3">
      <c r="B538" s="609">
        <v>37204128</v>
      </c>
      <c r="C538" s="894" t="s">
        <v>748</v>
      </c>
      <c r="D538" s="894"/>
      <c r="E538" s="610" t="s">
        <v>309</v>
      </c>
      <c r="F538" s="609" t="s">
        <v>592</v>
      </c>
      <c r="G538" s="950">
        <v>30</v>
      </c>
      <c r="H538" s="950"/>
      <c r="I538" s="950" t="s">
        <v>593</v>
      </c>
      <c r="J538" s="950"/>
      <c r="K538" s="609">
        <v>2</v>
      </c>
      <c r="L538" s="612">
        <v>6.6666666666666666E-2</v>
      </c>
      <c r="M538" s="609">
        <v>3</v>
      </c>
      <c r="N538" s="612">
        <v>0.1</v>
      </c>
      <c r="O538" s="609">
        <v>12</v>
      </c>
      <c r="P538" s="612">
        <v>0.4</v>
      </c>
      <c r="Q538" s="609">
        <v>0</v>
      </c>
      <c r="R538" s="612">
        <v>0</v>
      </c>
      <c r="S538" s="609">
        <v>13</v>
      </c>
      <c r="T538" s="612">
        <v>0.43333333333333335</v>
      </c>
      <c r="U538" s="609">
        <v>0</v>
      </c>
      <c r="V538" s="612">
        <v>0</v>
      </c>
    </row>
    <row r="539" spans="2:22" ht="23.25" customHeight="1" thickBot="1" x14ac:dyDescent="0.3">
      <c r="B539" s="609">
        <v>37204127</v>
      </c>
      <c r="C539" s="894" t="s">
        <v>749</v>
      </c>
      <c r="D539" s="894"/>
      <c r="E539" s="610" t="s">
        <v>309</v>
      </c>
      <c r="F539" s="609" t="s">
        <v>592</v>
      </c>
      <c r="G539" s="950">
        <v>29</v>
      </c>
      <c r="H539" s="950"/>
      <c r="I539" s="950" t="s">
        <v>593</v>
      </c>
      <c r="J539" s="950"/>
      <c r="K539" s="609">
        <v>3</v>
      </c>
      <c r="L539" s="612">
        <v>0.10344827586206896</v>
      </c>
      <c r="M539" s="609">
        <v>0</v>
      </c>
      <c r="N539" s="612">
        <v>0</v>
      </c>
      <c r="O539" s="609">
        <v>12</v>
      </c>
      <c r="P539" s="612">
        <v>0.41379310344827586</v>
      </c>
      <c r="Q539" s="609">
        <v>0</v>
      </c>
      <c r="R539" s="612">
        <v>0</v>
      </c>
      <c r="S539" s="609">
        <v>14</v>
      </c>
      <c r="T539" s="612">
        <v>0.48275862068965519</v>
      </c>
      <c r="U539" s="609">
        <v>0</v>
      </c>
      <c r="V539" s="612">
        <v>0</v>
      </c>
    </row>
    <row r="540" spans="2:22" ht="25.5" customHeight="1" thickBot="1" x14ac:dyDescent="0.3">
      <c r="B540" s="609">
        <v>37204129</v>
      </c>
      <c r="C540" s="894" t="s">
        <v>750</v>
      </c>
      <c r="D540" s="894"/>
      <c r="E540" s="610" t="s">
        <v>309</v>
      </c>
      <c r="F540" s="609" t="s">
        <v>592</v>
      </c>
      <c r="G540" s="950">
        <v>29</v>
      </c>
      <c r="H540" s="950"/>
      <c r="I540" s="950" t="s">
        <v>593</v>
      </c>
      <c r="J540" s="950"/>
      <c r="K540" s="609">
        <v>3</v>
      </c>
      <c r="L540" s="612">
        <v>0.10344827586206896</v>
      </c>
      <c r="M540" s="609">
        <v>0</v>
      </c>
      <c r="N540" s="612">
        <v>0</v>
      </c>
      <c r="O540" s="609">
        <v>17</v>
      </c>
      <c r="P540" s="612">
        <v>0.58620689655172409</v>
      </c>
      <c r="Q540" s="609">
        <v>0</v>
      </c>
      <c r="R540" s="612">
        <v>0</v>
      </c>
      <c r="S540" s="609">
        <v>9</v>
      </c>
      <c r="T540" s="612">
        <v>0.31034482758620691</v>
      </c>
      <c r="U540" s="609">
        <v>0</v>
      </c>
      <c r="V540" s="612">
        <v>0</v>
      </c>
    </row>
    <row r="541" spans="2:22" ht="24" customHeight="1" thickBot="1" x14ac:dyDescent="0.3">
      <c r="B541" s="609">
        <v>37204131</v>
      </c>
      <c r="C541" s="894" t="s">
        <v>751</v>
      </c>
      <c r="D541" s="894"/>
      <c r="E541" s="610" t="s">
        <v>309</v>
      </c>
      <c r="F541" s="609" t="s">
        <v>592</v>
      </c>
      <c r="G541" s="950">
        <v>30</v>
      </c>
      <c r="H541" s="950"/>
      <c r="I541" s="950" t="s">
        <v>593</v>
      </c>
      <c r="J541" s="950"/>
      <c r="K541" s="609">
        <v>3</v>
      </c>
      <c r="L541" s="612">
        <v>0.1</v>
      </c>
      <c r="M541" s="609">
        <v>0</v>
      </c>
      <c r="N541" s="612">
        <v>0</v>
      </c>
      <c r="O541" s="609">
        <v>15</v>
      </c>
      <c r="P541" s="612">
        <v>0.5</v>
      </c>
      <c r="Q541" s="609">
        <v>0</v>
      </c>
      <c r="R541" s="612">
        <v>0</v>
      </c>
      <c r="S541" s="609">
        <v>12</v>
      </c>
      <c r="T541" s="612">
        <v>0.4</v>
      </c>
      <c r="U541" s="609">
        <v>0</v>
      </c>
      <c r="V541" s="612">
        <v>0</v>
      </c>
    </row>
    <row r="542" spans="2:22" ht="15.75" thickBot="1" x14ac:dyDescent="0.3">
      <c r="B542" s="609">
        <v>37204301</v>
      </c>
      <c r="C542" s="894" t="s">
        <v>752</v>
      </c>
      <c r="D542" s="894"/>
      <c r="E542" s="610" t="s">
        <v>309</v>
      </c>
      <c r="F542" s="609" t="s">
        <v>592</v>
      </c>
      <c r="G542" s="950">
        <v>61</v>
      </c>
      <c r="H542" s="950"/>
      <c r="I542" s="950" t="s">
        <v>621</v>
      </c>
      <c r="J542" s="950"/>
      <c r="K542" s="609">
        <v>22</v>
      </c>
      <c r="L542" s="612">
        <v>0.36065573770491804</v>
      </c>
      <c r="M542" s="609">
        <v>18</v>
      </c>
      <c r="N542" s="612">
        <v>0.29508196721311475</v>
      </c>
      <c r="O542" s="609">
        <v>13</v>
      </c>
      <c r="P542" s="612">
        <v>0.21311475409836064</v>
      </c>
      <c r="Q542" s="609">
        <v>6</v>
      </c>
      <c r="R542" s="612">
        <v>9.8360655737704916E-2</v>
      </c>
      <c r="S542" s="609">
        <v>2</v>
      </c>
      <c r="T542" s="612">
        <v>3.2786885245901641E-2</v>
      </c>
      <c r="U542" s="609">
        <v>0</v>
      </c>
      <c r="V542" s="612">
        <v>0</v>
      </c>
    </row>
    <row r="543" spans="2:22" ht="36" customHeight="1" thickBot="1" x14ac:dyDescent="0.3">
      <c r="B543" s="609">
        <v>37204223</v>
      </c>
      <c r="C543" s="894" t="s">
        <v>760</v>
      </c>
      <c r="D543" s="894"/>
      <c r="E543" s="610" t="s">
        <v>309</v>
      </c>
      <c r="F543" s="609" t="s">
        <v>592</v>
      </c>
      <c r="G543" s="950">
        <v>32</v>
      </c>
      <c r="H543" s="950"/>
      <c r="I543" s="950" t="s">
        <v>593</v>
      </c>
      <c r="J543" s="950"/>
      <c r="K543" s="609">
        <v>5</v>
      </c>
      <c r="L543" s="612">
        <v>0.15625</v>
      </c>
      <c r="M543" s="609">
        <v>0</v>
      </c>
      <c r="N543" s="612">
        <v>0</v>
      </c>
      <c r="O543" s="609">
        <v>8</v>
      </c>
      <c r="P543" s="612">
        <v>0.25</v>
      </c>
      <c r="Q543" s="609">
        <v>0</v>
      </c>
      <c r="R543" s="612">
        <v>0</v>
      </c>
      <c r="S543" s="609">
        <v>19</v>
      </c>
      <c r="T543" s="612">
        <v>0.59375</v>
      </c>
      <c r="U543" s="609">
        <v>0</v>
      </c>
      <c r="V543" s="612">
        <v>0</v>
      </c>
    </row>
    <row r="544" spans="2:22" ht="15.75" thickBot="1" x14ac:dyDescent="0.3">
      <c r="B544" s="609">
        <v>37204210</v>
      </c>
      <c r="C544" s="894" t="s">
        <v>761</v>
      </c>
      <c r="D544" s="894"/>
      <c r="E544" s="610" t="s">
        <v>309</v>
      </c>
      <c r="F544" s="609" t="s">
        <v>592</v>
      </c>
      <c r="G544" s="950">
        <v>37</v>
      </c>
      <c r="H544" s="950"/>
      <c r="I544" s="950" t="s">
        <v>593</v>
      </c>
      <c r="J544" s="950"/>
      <c r="K544" s="609">
        <v>8</v>
      </c>
      <c r="L544" s="612">
        <v>0.21621621621621623</v>
      </c>
      <c r="M544" s="609">
        <v>0</v>
      </c>
      <c r="N544" s="612">
        <v>0</v>
      </c>
      <c r="O544" s="609">
        <v>23</v>
      </c>
      <c r="P544" s="612">
        <v>0.6216216216216216</v>
      </c>
      <c r="Q544" s="609">
        <v>0</v>
      </c>
      <c r="R544" s="612">
        <v>0</v>
      </c>
      <c r="S544" s="609">
        <v>6</v>
      </c>
      <c r="T544" s="612">
        <v>0.16216216216216217</v>
      </c>
      <c r="U544" s="609">
        <v>0</v>
      </c>
      <c r="V544" s="612">
        <v>0</v>
      </c>
    </row>
    <row r="545" spans="1:22" ht="26.25" customHeight="1" thickBot="1" x14ac:dyDescent="0.3">
      <c r="B545" s="609">
        <v>37204205</v>
      </c>
      <c r="C545" s="894" t="s">
        <v>762</v>
      </c>
      <c r="D545" s="894"/>
      <c r="E545" s="610" t="s">
        <v>353</v>
      </c>
      <c r="F545" s="609" t="s">
        <v>592</v>
      </c>
      <c r="G545" s="950">
        <v>30</v>
      </c>
      <c r="H545" s="950"/>
      <c r="I545" s="950" t="s">
        <v>593</v>
      </c>
      <c r="J545" s="950"/>
      <c r="K545" s="609">
        <v>9</v>
      </c>
      <c r="L545" s="612">
        <v>0.3</v>
      </c>
      <c r="M545" s="609">
        <v>0</v>
      </c>
      <c r="N545" s="612">
        <v>0</v>
      </c>
      <c r="O545" s="609">
        <v>8</v>
      </c>
      <c r="P545" s="612">
        <v>0.26666666666666666</v>
      </c>
      <c r="Q545" s="609">
        <v>0</v>
      </c>
      <c r="R545" s="612">
        <v>0</v>
      </c>
      <c r="S545" s="609">
        <v>13</v>
      </c>
      <c r="T545" s="612">
        <v>0.43333333333333335</v>
      </c>
      <c r="U545" s="609">
        <v>0</v>
      </c>
      <c r="V545" s="612">
        <v>0</v>
      </c>
    </row>
    <row r="546" spans="1:22" ht="35.25" customHeight="1" thickBot="1" x14ac:dyDescent="0.3">
      <c r="B546" s="609">
        <v>37204209</v>
      </c>
      <c r="C546" s="894" t="s">
        <v>763</v>
      </c>
      <c r="D546" s="894"/>
      <c r="E546" s="610" t="s">
        <v>353</v>
      </c>
      <c r="F546" s="609" t="s">
        <v>592</v>
      </c>
      <c r="G546" s="950">
        <v>43</v>
      </c>
      <c r="H546" s="950"/>
      <c r="I546" s="950" t="s">
        <v>593</v>
      </c>
      <c r="J546" s="950"/>
      <c r="K546" s="609">
        <v>4</v>
      </c>
      <c r="L546" s="612">
        <v>9.3023255813953487E-2</v>
      </c>
      <c r="M546" s="609">
        <v>0</v>
      </c>
      <c r="N546" s="612">
        <v>0</v>
      </c>
      <c r="O546" s="609">
        <v>24</v>
      </c>
      <c r="P546" s="612">
        <v>0.55813953488372092</v>
      </c>
      <c r="Q546" s="609">
        <v>1</v>
      </c>
      <c r="R546" s="612">
        <v>2.3255813953488372E-2</v>
      </c>
      <c r="S546" s="609">
        <v>12</v>
      </c>
      <c r="T546" s="612">
        <v>0.27906976744186046</v>
      </c>
      <c r="U546" s="609">
        <v>2</v>
      </c>
      <c r="V546" s="612">
        <v>4.6511627906976744E-2</v>
      </c>
    </row>
    <row r="547" spans="1:22" ht="25.5" customHeight="1" thickBot="1" x14ac:dyDescent="0.3">
      <c r="B547" s="609">
        <v>37204222</v>
      </c>
      <c r="C547" s="894" t="s">
        <v>1123</v>
      </c>
      <c r="D547" s="894"/>
      <c r="E547" s="610" t="s">
        <v>353</v>
      </c>
      <c r="F547" s="609" t="s">
        <v>592</v>
      </c>
      <c r="G547" s="950" t="s">
        <v>64</v>
      </c>
      <c r="H547" s="950"/>
      <c r="I547" s="950" t="s">
        <v>593</v>
      </c>
      <c r="J547" s="950"/>
      <c r="K547" s="609" t="s">
        <v>64</v>
      </c>
      <c r="L547" s="612" t="s">
        <v>64</v>
      </c>
      <c r="M547" s="609" t="s">
        <v>64</v>
      </c>
      <c r="N547" s="612" t="s">
        <v>64</v>
      </c>
      <c r="O547" s="609" t="s">
        <v>64</v>
      </c>
      <c r="P547" s="612" t="s">
        <v>64</v>
      </c>
      <c r="Q547" s="609" t="s">
        <v>64</v>
      </c>
      <c r="R547" s="612" t="s">
        <v>64</v>
      </c>
      <c r="S547" s="609" t="s">
        <v>64</v>
      </c>
      <c r="T547" s="612" t="s">
        <v>64</v>
      </c>
      <c r="U547" s="609" t="s">
        <v>64</v>
      </c>
      <c r="V547" s="612" t="s">
        <v>64</v>
      </c>
    </row>
    <row r="548" spans="1:22" ht="22.5" customHeight="1" thickBot="1" x14ac:dyDescent="0.3">
      <c r="B548" s="617">
        <v>37204206</v>
      </c>
      <c r="C548" s="951" t="s">
        <v>765</v>
      </c>
      <c r="D548" s="951"/>
      <c r="E548" s="618" t="s">
        <v>353</v>
      </c>
      <c r="F548" s="617" t="s">
        <v>592</v>
      </c>
      <c r="G548" s="952">
        <v>18</v>
      </c>
      <c r="H548" s="952"/>
      <c r="I548" s="952" t="s">
        <v>593</v>
      </c>
      <c r="J548" s="952"/>
      <c r="K548" s="617">
        <v>15</v>
      </c>
      <c r="L548" s="619">
        <v>0.83333333333333337</v>
      </c>
      <c r="M548" s="617">
        <v>0</v>
      </c>
      <c r="N548" s="619">
        <v>0</v>
      </c>
      <c r="O548" s="617">
        <v>3</v>
      </c>
      <c r="P548" s="619">
        <v>0.16666666666666666</v>
      </c>
      <c r="Q548" s="617">
        <v>0</v>
      </c>
      <c r="R548" s="619">
        <v>0</v>
      </c>
      <c r="S548" s="617">
        <v>0</v>
      </c>
      <c r="T548" s="619">
        <v>0</v>
      </c>
      <c r="U548" s="617">
        <v>0</v>
      </c>
      <c r="V548" s="619">
        <v>0</v>
      </c>
    </row>
    <row r="549" spans="1:22" ht="15.75" thickBot="1" x14ac:dyDescent="0.3">
      <c r="B549" s="613"/>
      <c r="C549" s="948" t="s">
        <v>623</v>
      </c>
      <c r="D549" s="948"/>
      <c r="E549" s="599"/>
      <c r="F549" s="599"/>
      <c r="G549" s="948">
        <f>SUM(G495:G548)</f>
        <v>2627</v>
      </c>
      <c r="H549" s="948"/>
      <c r="I549" s="613"/>
      <c r="J549" s="613"/>
      <c r="K549" s="615">
        <f>SUM(K495:K548)</f>
        <v>968</v>
      </c>
      <c r="L549" s="599"/>
      <c r="M549" s="615">
        <f>SUM(M495:M548)</f>
        <v>121</v>
      </c>
      <c r="N549" s="599"/>
      <c r="O549" s="615">
        <f>SUM(O495:O548)</f>
        <v>1003</v>
      </c>
      <c r="P549" s="599"/>
      <c r="Q549" s="615">
        <f>SUM(Q495:Q548)</f>
        <v>287</v>
      </c>
      <c r="R549" s="599"/>
      <c r="S549" s="615">
        <f>SUM(S495:S548)</f>
        <v>230</v>
      </c>
      <c r="T549" s="599"/>
      <c r="U549" s="615">
        <f>SUM(U495:U548)</f>
        <v>18</v>
      </c>
      <c r="V549" s="599"/>
    </row>
    <row r="550" spans="1:22" x14ac:dyDescent="0.25">
      <c r="B550" s="37"/>
      <c r="C550" s="949" t="s">
        <v>624</v>
      </c>
      <c r="D550" s="949"/>
      <c r="E550" s="599"/>
      <c r="F550" s="599"/>
      <c r="G550" s="949">
        <f>SUM(G495:G504)</f>
        <v>747</v>
      </c>
      <c r="H550" s="949"/>
      <c r="I550" s="613"/>
      <c r="J550" s="613"/>
      <c r="K550" s="614">
        <f>SUM(K495:K504)</f>
        <v>302</v>
      </c>
      <c r="L550" s="599"/>
      <c r="M550" s="614">
        <f>SUM(M495:M504)</f>
        <v>63</v>
      </c>
      <c r="N550" s="599"/>
      <c r="O550" s="614">
        <f>SUM(O495:O504)</f>
        <v>185</v>
      </c>
      <c r="P550" s="599"/>
      <c r="Q550" s="614">
        <f>SUM(Q495:Q504)</f>
        <v>168</v>
      </c>
      <c r="R550" s="599"/>
      <c r="S550" s="614">
        <f>SUM(S495:S504)</f>
        <v>21</v>
      </c>
      <c r="T550" s="599"/>
      <c r="U550" s="614">
        <f>SUM(U495:U504)</f>
        <v>8</v>
      </c>
      <c r="V550" s="599"/>
    </row>
    <row r="551" spans="1:22" x14ac:dyDescent="0.25">
      <c r="B551" s="50" t="s">
        <v>832</v>
      </c>
      <c r="C551" s="72"/>
    </row>
    <row r="552" spans="1:22" s="72" customFormat="1" x14ac:dyDescent="0.25">
      <c r="B552" s="50" t="s">
        <v>625</v>
      </c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</row>
    <row r="553" spans="1:22" s="72" customFormat="1" x14ac:dyDescent="0.25">
      <c r="B553" s="50" t="s">
        <v>626</v>
      </c>
      <c r="C553" s="99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</row>
    <row r="554" spans="1:22" ht="15" customHeight="1" x14ac:dyDescent="0.25">
      <c r="B554" s="37" t="s">
        <v>627</v>
      </c>
      <c r="C554" s="99"/>
      <c r="D554" s="99"/>
      <c r="E554" s="99"/>
      <c r="F554" s="51"/>
      <c r="G554" s="51"/>
      <c r="H554" s="51"/>
      <c r="I554" s="51"/>
    </row>
    <row r="555" spans="1:22" s="86" customFormat="1" x14ac:dyDescent="0.25">
      <c r="A555" s="37"/>
      <c r="B555" s="389"/>
      <c r="C555" s="389"/>
      <c r="D555" s="389"/>
      <c r="E555" s="389"/>
      <c r="F555" s="51"/>
      <c r="G555" s="51"/>
      <c r="H555" s="51"/>
      <c r="I555" s="51"/>
    </row>
    <row r="556" spans="1:22" s="86" customFormat="1" x14ac:dyDescent="0.25">
      <c r="A556" s="37"/>
      <c r="B556" s="389"/>
      <c r="C556" s="388"/>
      <c r="D556" s="388"/>
      <c r="E556" s="388"/>
      <c r="F556" s="51"/>
      <c r="G556" s="51"/>
      <c r="H556" s="51"/>
      <c r="I556" s="51"/>
    </row>
    <row r="557" spans="1:22" s="86" customFormat="1" x14ac:dyDescent="0.25">
      <c r="A557" s="37"/>
      <c r="B557" s="388" t="s">
        <v>1257</v>
      </c>
      <c r="C557" s="99"/>
      <c r="D557" s="99"/>
      <c r="E557" s="99"/>
      <c r="F557" s="51"/>
      <c r="G557" s="51"/>
      <c r="H557" s="51"/>
      <c r="I557" s="51"/>
    </row>
    <row r="558" spans="1:22" x14ac:dyDescent="0.25">
      <c r="A558" s="72"/>
      <c r="B558" s="947" t="s">
        <v>12</v>
      </c>
      <c r="C558" s="947"/>
      <c r="D558" s="947"/>
      <c r="E558" s="947"/>
      <c r="F558" s="947"/>
      <c r="G558" s="947"/>
    </row>
    <row r="559" spans="1:22" ht="21" x14ac:dyDescent="0.25">
      <c r="A559" s="72"/>
      <c r="B559" s="667" t="s">
        <v>272</v>
      </c>
      <c r="C559" s="667"/>
      <c r="D559" s="667"/>
      <c r="E559" s="598" t="s">
        <v>580</v>
      </c>
      <c r="F559" s="598" t="s">
        <v>628</v>
      </c>
      <c r="G559" s="598" t="s">
        <v>629</v>
      </c>
      <c r="J559" s="398"/>
      <c r="K559" s="398"/>
      <c r="L559" s="398"/>
      <c r="M559" s="398"/>
      <c r="N559" s="398"/>
      <c r="O559" s="398"/>
      <c r="P559" s="398"/>
      <c r="Q559" s="398"/>
    </row>
    <row r="560" spans="1:22" ht="21.75" customHeight="1" thickBot="1" x14ac:dyDescent="0.3">
      <c r="B560" s="894" t="s">
        <v>591</v>
      </c>
      <c r="C560" s="894"/>
      <c r="D560" s="894"/>
      <c r="E560" s="621" t="s">
        <v>283</v>
      </c>
      <c r="F560" s="629">
        <v>0.5714285714285714</v>
      </c>
      <c r="G560" s="629">
        <v>0.50909090909090904</v>
      </c>
      <c r="J560" s="628"/>
      <c r="K560" s="628"/>
      <c r="L560" s="628"/>
      <c r="M560" s="628"/>
      <c r="N560" s="628"/>
      <c r="O560" s="628"/>
      <c r="P560" s="628"/>
      <c r="Q560" s="628"/>
      <c r="R560" s="628"/>
      <c r="S560" s="628"/>
    </row>
    <row r="561" spans="2:19" ht="21.75" customHeight="1" thickBot="1" x14ac:dyDescent="0.3">
      <c r="B561" s="894" t="s">
        <v>594</v>
      </c>
      <c r="C561" s="894"/>
      <c r="D561" s="894"/>
      <c r="E561" s="610" t="s">
        <v>283</v>
      </c>
      <c r="F561" s="624">
        <v>0.97499999999999998</v>
      </c>
      <c r="G561" s="624">
        <v>0.90697674418604646</v>
      </c>
      <c r="J561" s="628"/>
      <c r="K561" s="628"/>
      <c r="L561" s="628"/>
      <c r="M561" s="628"/>
      <c r="N561" s="628"/>
      <c r="O561" s="628"/>
      <c r="P561" s="628"/>
      <c r="Q561" s="628"/>
      <c r="R561" s="628"/>
      <c r="S561" s="628"/>
    </row>
    <row r="562" spans="2:19" ht="15.75" customHeight="1" thickBot="1" x14ac:dyDescent="0.3">
      <c r="B562" s="894" t="s">
        <v>310</v>
      </c>
      <c r="C562" s="894"/>
      <c r="D562" s="894"/>
      <c r="E562" s="610" t="s">
        <v>309</v>
      </c>
      <c r="F562" s="624">
        <v>1</v>
      </c>
      <c r="G562" s="624">
        <v>0.97619047619047616</v>
      </c>
      <c r="J562" s="628"/>
      <c r="K562" s="628"/>
      <c r="L562" s="628"/>
      <c r="M562" s="628"/>
      <c r="N562" s="628"/>
      <c r="O562" s="628"/>
      <c r="P562" s="628"/>
      <c r="Q562" s="628"/>
      <c r="R562" s="628"/>
      <c r="S562" s="628"/>
    </row>
    <row r="563" spans="2:19" ht="15.75" customHeight="1" thickBot="1" x14ac:dyDescent="0.3">
      <c r="B563" s="894" t="s">
        <v>595</v>
      </c>
      <c r="C563" s="894"/>
      <c r="D563" s="894"/>
      <c r="E563" s="610" t="s">
        <v>309</v>
      </c>
      <c r="F563" s="624">
        <v>0.95238095238095233</v>
      </c>
      <c r="G563" s="624">
        <v>0.90909090909090906</v>
      </c>
      <c r="J563" s="398"/>
      <c r="K563" s="398"/>
      <c r="L563" s="398"/>
      <c r="M563" s="398"/>
      <c r="N563" s="398"/>
      <c r="O563" s="398"/>
      <c r="P563" s="398"/>
      <c r="Q563" s="398"/>
    </row>
    <row r="564" spans="2:19" ht="15.75" customHeight="1" thickBot="1" x14ac:dyDescent="0.3">
      <c r="B564" s="894" t="s">
        <v>596</v>
      </c>
      <c r="C564" s="894"/>
      <c r="D564" s="894"/>
      <c r="E564" s="610" t="s">
        <v>309</v>
      </c>
      <c r="F564" s="624">
        <v>0.9</v>
      </c>
      <c r="G564" s="624">
        <v>0.84375</v>
      </c>
      <c r="J564" s="398"/>
      <c r="K564" s="398"/>
      <c r="L564" s="398"/>
      <c r="M564" s="398"/>
      <c r="N564" s="398"/>
      <c r="O564" s="398"/>
      <c r="P564" s="398"/>
      <c r="Q564" s="398"/>
    </row>
    <row r="565" spans="2:19" ht="21.75" thickBot="1" x14ac:dyDescent="0.3">
      <c r="B565" s="894" t="s">
        <v>597</v>
      </c>
      <c r="C565" s="894"/>
      <c r="D565" s="894"/>
      <c r="E565" s="610" t="s">
        <v>283</v>
      </c>
      <c r="F565" s="624">
        <v>0.79245283018867929</v>
      </c>
      <c r="G565" s="624">
        <v>0.75</v>
      </c>
      <c r="J565" s="398"/>
      <c r="K565" s="398"/>
      <c r="L565" s="398"/>
      <c r="M565" s="398"/>
      <c r="N565" s="398"/>
      <c r="O565" s="398"/>
      <c r="P565" s="398"/>
      <c r="Q565" s="398"/>
    </row>
    <row r="566" spans="2:19" ht="28.5" customHeight="1" thickBot="1" x14ac:dyDescent="0.3">
      <c r="B566" s="894" t="s">
        <v>598</v>
      </c>
      <c r="C566" s="894"/>
      <c r="D566" s="894"/>
      <c r="E566" s="610" t="s">
        <v>283</v>
      </c>
      <c r="F566" s="624">
        <v>0.86</v>
      </c>
      <c r="G566" s="624">
        <v>0.84313725490196079</v>
      </c>
      <c r="J566" s="398"/>
      <c r="K566" s="398"/>
      <c r="L566" s="398"/>
      <c r="M566" s="398"/>
      <c r="N566" s="398"/>
      <c r="O566" s="398"/>
      <c r="P566" s="398"/>
      <c r="Q566" s="398"/>
    </row>
    <row r="567" spans="2:19" ht="15.75" customHeight="1" thickBot="1" x14ac:dyDescent="0.3">
      <c r="B567" s="894" t="s">
        <v>599</v>
      </c>
      <c r="C567" s="894"/>
      <c r="D567" s="894"/>
      <c r="E567" s="610" t="s">
        <v>309</v>
      </c>
      <c r="F567" s="624">
        <v>1</v>
      </c>
      <c r="G567" s="624">
        <v>0.95348837209302328</v>
      </c>
      <c r="J567" s="398"/>
      <c r="K567" s="398"/>
      <c r="L567" s="398"/>
      <c r="M567" s="398"/>
      <c r="N567" s="398"/>
      <c r="O567" s="398"/>
      <c r="P567" s="398"/>
      <c r="Q567" s="398"/>
    </row>
    <row r="568" spans="2:19" ht="21.75" thickBot="1" x14ac:dyDescent="0.3">
      <c r="B568" s="894" t="s">
        <v>600</v>
      </c>
      <c r="C568" s="894"/>
      <c r="D568" s="894"/>
      <c r="E568" s="610" t="s">
        <v>283</v>
      </c>
      <c r="F568" s="624">
        <v>0.85365853658536583</v>
      </c>
      <c r="G568" s="624">
        <v>0.81395348837209303</v>
      </c>
      <c r="J568" s="398"/>
      <c r="K568" s="398"/>
      <c r="L568" s="398"/>
      <c r="M568" s="398"/>
      <c r="N568" s="398"/>
      <c r="O568" s="398"/>
      <c r="P568" s="398"/>
      <c r="Q568" s="398"/>
    </row>
    <row r="569" spans="2:19" ht="21.75" thickBot="1" x14ac:dyDescent="0.3">
      <c r="B569" s="894" t="s">
        <v>601</v>
      </c>
      <c r="C569" s="894"/>
      <c r="D569" s="894"/>
      <c r="E569" s="610" t="s">
        <v>283</v>
      </c>
      <c r="F569" s="624">
        <v>0.52173913043478259</v>
      </c>
      <c r="G569" s="624">
        <v>0.48</v>
      </c>
      <c r="J569" s="398"/>
      <c r="K569" s="398"/>
      <c r="L569" s="398"/>
      <c r="M569" s="398"/>
      <c r="N569" s="398"/>
      <c r="O569" s="398"/>
      <c r="P569" s="398"/>
      <c r="Q569" s="398"/>
    </row>
    <row r="570" spans="2:19" ht="21.75" customHeight="1" thickBot="1" x14ac:dyDescent="0.3">
      <c r="B570" s="894" t="s">
        <v>602</v>
      </c>
      <c r="C570" s="894"/>
      <c r="D570" s="894"/>
      <c r="E570" s="610" t="s">
        <v>283</v>
      </c>
      <c r="F570" s="624">
        <v>0.96</v>
      </c>
      <c r="G570" s="624">
        <v>0.8571428571428571</v>
      </c>
      <c r="J570" s="398"/>
      <c r="K570" s="398"/>
      <c r="L570" s="398"/>
      <c r="M570" s="398"/>
      <c r="N570" s="398"/>
      <c r="O570" s="398"/>
      <c r="P570" s="398"/>
      <c r="Q570" s="398"/>
    </row>
    <row r="571" spans="2:19" ht="21.75" customHeight="1" thickBot="1" x14ac:dyDescent="0.3">
      <c r="B571" s="894" t="s">
        <v>603</v>
      </c>
      <c r="C571" s="894"/>
      <c r="D571" s="894"/>
      <c r="E571" s="610" t="s">
        <v>283</v>
      </c>
      <c r="F571" s="624">
        <v>0.96153846153846156</v>
      </c>
      <c r="G571" s="624">
        <v>0.96153846153846156</v>
      </c>
      <c r="J571" s="398"/>
      <c r="K571" s="398"/>
      <c r="L571" s="398"/>
      <c r="M571" s="398"/>
      <c r="N571" s="398"/>
      <c r="O571" s="398"/>
      <c r="P571" s="398"/>
      <c r="Q571" s="398"/>
    </row>
    <row r="572" spans="2:19" ht="21.75" customHeight="1" thickBot="1" x14ac:dyDescent="0.3">
      <c r="B572" s="894" t="s">
        <v>604</v>
      </c>
      <c r="C572" s="894"/>
      <c r="D572" s="894"/>
      <c r="E572" s="610" t="s">
        <v>283</v>
      </c>
      <c r="F572" s="624">
        <v>0.96</v>
      </c>
      <c r="G572" s="624">
        <v>0.92307692307692313</v>
      </c>
      <c r="J572" s="398"/>
      <c r="K572" s="398"/>
      <c r="L572" s="398"/>
      <c r="M572" s="398"/>
      <c r="N572" s="398"/>
      <c r="O572" s="398"/>
      <c r="P572" s="398"/>
      <c r="Q572" s="398"/>
    </row>
    <row r="573" spans="2:19" ht="15.75" customHeight="1" thickBot="1" x14ac:dyDescent="0.3">
      <c r="B573" s="894" t="s">
        <v>605</v>
      </c>
      <c r="C573" s="894"/>
      <c r="D573" s="894"/>
      <c r="E573" s="610" t="s">
        <v>309</v>
      </c>
      <c r="F573" s="624">
        <v>0.96</v>
      </c>
      <c r="G573" s="624">
        <v>0.96</v>
      </c>
      <c r="J573" s="398"/>
      <c r="K573" s="398"/>
      <c r="L573" s="398"/>
      <c r="M573" s="398"/>
      <c r="N573" s="398"/>
      <c r="O573" s="398"/>
      <c r="P573" s="398"/>
      <c r="Q573" s="398"/>
    </row>
    <row r="574" spans="2:19" ht="15.75" customHeight="1" thickBot="1" x14ac:dyDescent="0.3">
      <c r="B574" s="894" t="s">
        <v>606</v>
      </c>
      <c r="C574" s="894"/>
      <c r="D574" s="894"/>
      <c r="E574" s="610" t="s">
        <v>309</v>
      </c>
      <c r="F574" s="624">
        <v>1</v>
      </c>
      <c r="G574" s="624">
        <v>0.95652173913043481</v>
      </c>
      <c r="J574" s="398"/>
      <c r="K574" s="398"/>
      <c r="L574" s="398"/>
      <c r="M574" s="398"/>
      <c r="N574" s="398"/>
      <c r="O574" s="398"/>
      <c r="P574" s="398"/>
      <c r="Q574" s="398"/>
    </row>
    <row r="575" spans="2:19" ht="15.75" customHeight="1" thickBot="1" x14ac:dyDescent="0.3">
      <c r="B575" s="894" t="s">
        <v>607</v>
      </c>
      <c r="C575" s="894"/>
      <c r="D575" s="894"/>
      <c r="E575" s="610" t="s">
        <v>309</v>
      </c>
      <c r="F575" s="624">
        <v>0.86206896551724133</v>
      </c>
      <c r="G575" s="624">
        <v>0.83333333333333337</v>
      </c>
      <c r="J575" s="398"/>
      <c r="K575" s="398"/>
      <c r="L575" s="398"/>
      <c r="M575" s="398"/>
      <c r="N575" s="398"/>
      <c r="O575" s="398"/>
      <c r="P575" s="398"/>
      <c r="Q575" s="398"/>
    </row>
    <row r="576" spans="2:19" ht="21.75" customHeight="1" thickBot="1" x14ac:dyDescent="0.3">
      <c r="B576" s="894" t="s">
        <v>608</v>
      </c>
      <c r="C576" s="894"/>
      <c r="D576" s="894"/>
      <c r="E576" s="610" t="s">
        <v>283</v>
      </c>
      <c r="F576" s="624">
        <v>0.95833333333333337</v>
      </c>
      <c r="G576" s="624">
        <v>0.92</v>
      </c>
      <c r="J576" s="398"/>
      <c r="K576" s="398"/>
      <c r="L576" s="398"/>
      <c r="M576" s="398"/>
      <c r="N576" s="398"/>
      <c r="O576" s="398"/>
      <c r="P576" s="398"/>
      <c r="Q576" s="398"/>
    </row>
    <row r="577" spans="2:17" ht="27" customHeight="1" thickBot="1" x14ac:dyDescent="0.3">
      <c r="B577" s="894" t="s">
        <v>609</v>
      </c>
      <c r="C577" s="894"/>
      <c r="D577" s="894"/>
      <c r="E577" s="610" t="s">
        <v>309</v>
      </c>
      <c r="F577" s="624">
        <v>0.96</v>
      </c>
      <c r="G577" s="624">
        <v>0.88888888888888884</v>
      </c>
      <c r="J577" s="398"/>
      <c r="K577" s="398"/>
      <c r="L577" s="398"/>
      <c r="M577" s="398"/>
      <c r="N577" s="398"/>
      <c r="O577" s="398"/>
      <c r="P577" s="398"/>
      <c r="Q577" s="398"/>
    </row>
    <row r="578" spans="2:17" ht="15.75" customHeight="1" thickBot="1" x14ac:dyDescent="0.3">
      <c r="B578" s="894" t="s">
        <v>610</v>
      </c>
      <c r="C578" s="894"/>
      <c r="D578" s="894"/>
      <c r="E578" s="610" t="s">
        <v>309</v>
      </c>
      <c r="F578" s="624">
        <v>1</v>
      </c>
      <c r="G578" s="624">
        <v>0.94736842105263153</v>
      </c>
      <c r="J578" s="398"/>
      <c r="K578" s="398"/>
      <c r="L578" s="398"/>
      <c r="M578" s="398"/>
      <c r="N578" s="398"/>
      <c r="O578" s="398"/>
      <c r="P578" s="398"/>
      <c r="Q578" s="398"/>
    </row>
    <row r="579" spans="2:17" ht="15.75" customHeight="1" thickBot="1" x14ac:dyDescent="0.3">
      <c r="B579" s="894" t="s">
        <v>324</v>
      </c>
      <c r="C579" s="894"/>
      <c r="D579" s="894"/>
      <c r="E579" s="610" t="s">
        <v>309</v>
      </c>
      <c r="F579" s="624">
        <v>0.8571428571428571</v>
      </c>
      <c r="G579" s="624">
        <v>0.8571428571428571</v>
      </c>
      <c r="J579" s="398"/>
      <c r="K579" s="398"/>
      <c r="L579" s="398"/>
      <c r="M579" s="398"/>
      <c r="N579" s="398"/>
      <c r="O579" s="398"/>
      <c r="P579" s="398"/>
      <c r="Q579" s="398"/>
    </row>
    <row r="580" spans="2:17" ht="15.75" customHeight="1" thickBot="1" x14ac:dyDescent="0.3">
      <c r="B580" s="894" t="s">
        <v>611</v>
      </c>
      <c r="C580" s="894"/>
      <c r="D580" s="894"/>
      <c r="E580" s="610" t="s">
        <v>309</v>
      </c>
      <c r="F580" s="624">
        <v>0.9285714285714286</v>
      </c>
      <c r="G580" s="624">
        <v>0.8666666666666667</v>
      </c>
      <c r="J580" s="398"/>
      <c r="K580" s="398"/>
      <c r="L580" s="398"/>
      <c r="M580" s="398"/>
      <c r="N580" s="398"/>
      <c r="O580" s="398"/>
      <c r="P580" s="398"/>
      <c r="Q580" s="398"/>
    </row>
    <row r="581" spans="2:17" ht="24" customHeight="1" thickBot="1" x14ac:dyDescent="0.3">
      <c r="B581" s="894" t="s">
        <v>612</v>
      </c>
      <c r="C581" s="894"/>
      <c r="D581" s="894"/>
      <c r="E581" s="610" t="s">
        <v>309</v>
      </c>
      <c r="F581" s="624">
        <v>0.94736842105263153</v>
      </c>
      <c r="G581" s="624">
        <v>0.81818181818181823</v>
      </c>
      <c r="J581" s="398"/>
      <c r="K581" s="398"/>
      <c r="L581" s="398"/>
      <c r="M581" s="398"/>
      <c r="N581" s="398"/>
      <c r="O581" s="398"/>
      <c r="P581" s="398"/>
      <c r="Q581" s="398"/>
    </row>
    <row r="582" spans="2:17" ht="15.75" customHeight="1" thickBot="1" x14ac:dyDescent="0.3">
      <c r="B582" s="894" t="s">
        <v>333</v>
      </c>
      <c r="C582" s="894"/>
      <c r="D582" s="894"/>
      <c r="E582" s="610" t="s">
        <v>309</v>
      </c>
      <c r="F582" s="624">
        <v>1</v>
      </c>
      <c r="G582" s="624">
        <v>1</v>
      </c>
      <c r="J582" s="398"/>
      <c r="K582" s="398"/>
      <c r="L582" s="398"/>
      <c r="M582" s="398"/>
      <c r="N582" s="398"/>
      <c r="O582" s="398"/>
      <c r="P582" s="398"/>
      <c r="Q582" s="398"/>
    </row>
    <row r="583" spans="2:17" ht="25.5" customHeight="1" thickBot="1" x14ac:dyDescent="0.3">
      <c r="B583" s="894" t="s">
        <v>613</v>
      </c>
      <c r="C583" s="894"/>
      <c r="D583" s="894"/>
      <c r="E583" s="610" t="s">
        <v>309</v>
      </c>
      <c r="F583" s="624">
        <v>1</v>
      </c>
      <c r="G583" s="624">
        <v>0.9285714285714286</v>
      </c>
      <c r="J583" s="398"/>
      <c r="K583" s="398"/>
      <c r="L583" s="398"/>
      <c r="M583" s="398"/>
      <c r="N583" s="398"/>
      <c r="O583" s="398"/>
      <c r="P583" s="398"/>
      <c r="Q583" s="398"/>
    </row>
    <row r="584" spans="2:17" ht="22.5" customHeight="1" thickBot="1" x14ac:dyDescent="0.3">
      <c r="B584" s="894" t="s">
        <v>341</v>
      </c>
      <c r="C584" s="894"/>
      <c r="D584" s="894"/>
      <c r="E584" s="610" t="s">
        <v>309</v>
      </c>
      <c r="F584" s="624">
        <v>1</v>
      </c>
      <c r="G584" s="624">
        <v>1</v>
      </c>
      <c r="J584" s="398"/>
      <c r="K584" s="398"/>
      <c r="L584" s="398"/>
      <c r="M584" s="398"/>
      <c r="N584" s="398"/>
      <c r="O584" s="398"/>
      <c r="P584" s="398"/>
      <c r="Q584" s="398"/>
    </row>
    <row r="585" spans="2:17" ht="15.75" customHeight="1" thickBot="1" x14ac:dyDescent="0.3">
      <c r="B585" s="894" t="s">
        <v>343</v>
      </c>
      <c r="C585" s="894"/>
      <c r="D585" s="894"/>
      <c r="E585" s="610" t="s">
        <v>309</v>
      </c>
      <c r="F585" s="624">
        <v>1</v>
      </c>
      <c r="G585" s="624">
        <v>1</v>
      </c>
      <c r="J585" s="398"/>
      <c r="K585" s="398"/>
      <c r="L585" s="398"/>
      <c r="M585" s="398"/>
      <c r="N585" s="398"/>
      <c r="O585" s="398"/>
      <c r="P585" s="398"/>
      <c r="Q585" s="398"/>
    </row>
    <row r="586" spans="2:17" ht="22.5" customHeight="1" thickBot="1" x14ac:dyDescent="0.3">
      <c r="B586" s="894" t="s">
        <v>614</v>
      </c>
      <c r="C586" s="894"/>
      <c r="D586" s="894"/>
      <c r="E586" s="610" t="s">
        <v>309</v>
      </c>
      <c r="F586" s="624">
        <v>1</v>
      </c>
      <c r="G586" s="624">
        <v>0.91666666666666663</v>
      </c>
      <c r="J586" s="398"/>
      <c r="K586" s="398"/>
      <c r="L586" s="398"/>
      <c r="M586" s="398"/>
      <c r="N586" s="398"/>
      <c r="O586" s="398"/>
      <c r="P586" s="398"/>
      <c r="Q586" s="398"/>
    </row>
    <row r="587" spans="2:17" ht="15.75" customHeight="1" thickBot="1" x14ac:dyDescent="0.3">
      <c r="B587" s="894" t="s">
        <v>615</v>
      </c>
      <c r="C587" s="894"/>
      <c r="D587" s="894"/>
      <c r="E587" s="610" t="s">
        <v>309</v>
      </c>
      <c r="F587" s="624">
        <v>0.8</v>
      </c>
      <c r="G587" s="624">
        <v>0.76190476190476186</v>
      </c>
      <c r="J587" s="398"/>
      <c r="K587" s="398"/>
      <c r="L587" s="398"/>
      <c r="M587" s="398"/>
      <c r="N587" s="398"/>
      <c r="O587" s="398"/>
      <c r="P587" s="398"/>
      <c r="Q587" s="398"/>
    </row>
    <row r="588" spans="2:17" ht="15.75" customHeight="1" thickBot="1" x14ac:dyDescent="0.3">
      <c r="B588" s="894" t="s">
        <v>337</v>
      </c>
      <c r="C588" s="894"/>
      <c r="D588" s="894"/>
      <c r="E588" s="610" t="s">
        <v>309</v>
      </c>
      <c r="F588" s="624">
        <v>1</v>
      </c>
      <c r="G588" s="624">
        <v>0.94117647058823528</v>
      </c>
      <c r="J588" s="398"/>
      <c r="K588" s="398"/>
      <c r="L588" s="398"/>
      <c r="M588" s="398"/>
      <c r="N588" s="398"/>
      <c r="O588" s="398"/>
      <c r="P588" s="398"/>
      <c r="Q588" s="398"/>
    </row>
    <row r="589" spans="2:17" ht="15.75" customHeight="1" thickBot="1" x14ac:dyDescent="0.3">
      <c r="B589" s="894" t="s">
        <v>346</v>
      </c>
      <c r="C589" s="894"/>
      <c r="D589" s="894"/>
      <c r="E589" s="610" t="s">
        <v>309</v>
      </c>
      <c r="F589" s="624">
        <v>1</v>
      </c>
      <c r="G589" s="624">
        <v>1</v>
      </c>
      <c r="J589" s="398"/>
      <c r="K589" s="398"/>
      <c r="L589" s="398"/>
      <c r="M589" s="398"/>
      <c r="N589" s="398"/>
      <c r="O589" s="398"/>
      <c r="P589" s="398"/>
      <c r="Q589" s="398"/>
    </row>
    <row r="590" spans="2:17" ht="25.5" customHeight="1" thickBot="1" x14ac:dyDescent="0.3">
      <c r="B590" s="894" t="s">
        <v>616</v>
      </c>
      <c r="C590" s="894"/>
      <c r="D590" s="894"/>
      <c r="E590" s="610" t="s">
        <v>309</v>
      </c>
      <c r="F590" s="624">
        <v>1</v>
      </c>
      <c r="G590" s="624">
        <v>1</v>
      </c>
      <c r="J590" s="398"/>
      <c r="K590" s="398"/>
      <c r="L590" s="398"/>
      <c r="M590" s="398"/>
      <c r="N590" s="398"/>
      <c r="O590" s="398"/>
      <c r="P590" s="398"/>
      <c r="Q590" s="398"/>
    </row>
    <row r="591" spans="2:17" ht="24" customHeight="1" thickBot="1" x14ac:dyDescent="0.3">
      <c r="B591" s="894" t="s">
        <v>617</v>
      </c>
      <c r="C591" s="894"/>
      <c r="D591" s="894"/>
      <c r="E591" s="610" t="s">
        <v>353</v>
      </c>
      <c r="F591" s="624">
        <v>0.93333333333333335</v>
      </c>
      <c r="G591" s="624">
        <v>0.875</v>
      </c>
      <c r="J591" s="398"/>
      <c r="K591" s="398"/>
      <c r="L591" s="398"/>
      <c r="M591" s="398"/>
      <c r="N591" s="398"/>
      <c r="O591" s="398"/>
      <c r="P591" s="398"/>
      <c r="Q591" s="398"/>
    </row>
    <row r="592" spans="2:17" ht="24.75" customHeight="1" thickBot="1" x14ac:dyDescent="0.3">
      <c r="B592" s="894" t="s">
        <v>618</v>
      </c>
      <c r="C592" s="894"/>
      <c r="D592" s="894"/>
      <c r="E592" s="610" t="s">
        <v>353</v>
      </c>
      <c r="F592" s="624">
        <v>1</v>
      </c>
      <c r="G592" s="624">
        <v>0.66666666666666663</v>
      </c>
      <c r="J592" s="398"/>
      <c r="K592" s="398"/>
      <c r="L592" s="398"/>
      <c r="M592" s="398"/>
      <c r="N592" s="398"/>
      <c r="O592" s="398"/>
      <c r="P592" s="398"/>
      <c r="Q592" s="398"/>
    </row>
    <row r="593" spans="1:17" ht="23.25" customHeight="1" thickBot="1" x14ac:dyDescent="0.3">
      <c r="B593" s="894" t="s">
        <v>619</v>
      </c>
      <c r="C593" s="894"/>
      <c r="D593" s="894"/>
      <c r="E593" s="610" t="s">
        <v>353</v>
      </c>
      <c r="F593" s="624">
        <v>1</v>
      </c>
      <c r="G593" s="624">
        <v>1</v>
      </c>
      <c r="J593" s="398"/>
      <c r="K593" s="398"/>
      <c r="L593" s="398"/>
      <c r="M593" s="398"/>
      <c r="N593" s="398"/>
      <c r="O593" s="398"/>
      <c r="P593" s="398"/>
      <c r="Q593" s="398"/>
    </row>
    <row r="594" spans="1:17" ht="23.25" customHeight="1" thickBot="1" x14ac:dyDescent="0.3">
      <c r="B594" s="894" t="s">
        <v>620</v>
      </c>
      <c r="C594" s="894"/>
      <c r="D594" s="894"/>
      <c r="E594" s="610" t="s">
        <v>353</v>
      </c>
      <c r="F594" s="624" t="s">
        <v>64</v>
      </c>
      <c r="G594" s="624" t="s">
        <v>64</v>
      </c>
      <c r="J594" s="398"/>
      <c r="K594" s="398"/>
      <c r="L594" s="398"/>
      <c r="M594" s="398"/>
      <c r="N594" s="398"/>
      <c r="O594" s="398"/>
      <c r="P594" s="398"/>
      <c r="Q594" s="398"/>
    </row>
    <row r="595" spans="1:17" ht="15.75" customHeight="1" thickBot="1" x14ac:dyDescent="0.3">
      <c r="B595" s="894" t="s">
        <v>358</v>
      </c>
      <c r="C595" s="894"/>
      <c r="D595" s="894"/>
      <c r="E595" s="610" t="s">
        <v>309</v>
      </c>
      <c r="F595" s="624">
        <v>1</v>
      </c>
      <c r="G595" s="624">
        <v>1</v>
      </c>
      <c r="J595" s="398"/>
      <c r="K595" s="398"/>
      <c r="L595" s="398"/>
      <c r="M595" s="398"/>
      <c r="N595" s="398"/>
      <c r="O595" s="398"/>
      <c r="P595" s="398"/>
      <c r="Q595" s="398"/>
    </row>
    <row r="596" spans="1:17" ht="15.75" customHeight="1" thickBot="1" x14ac:dyDescent="0.3">
      <c r="B596" s="946" t="s">
        <v>622</v>
      </c>
      <c r="C596" s="946"/>
      <c r="D596" s="946"/>
      <c r="E596" s="618" t="s">
        <v>309</v>
      </c>
      <c r="F596" s="626">
        <v>1</v>
      </c>
      <c r="G596" s="626">
        <v>0.9</v>
      </c>
      <c r="J596" s="398"/>
      <c r="K596" s="398"/>
      <c r="L596" s="398"/>
      <c r="M596" s="398"/>
      <c r="N596" s="398"/>
      <c r="O596" s="398"/>
      <c r="P596" s="398"/>
      <c r="Q596" s="398"/>
    </row>
    <row r="597" spans="1:17" s="75" customFormat="1" x14ac:dyDescent="0.25">
      <c r="A597"/>
      <c r="B597" s="76"/>
      <c r="C597" s="77"/>
      <c r="D597" s="78"/>
      <c r="E597" s="78"/>
      <c r="F597" s="79"/>
    </row>
    <row r="598" spans="1:17" x14ac:dyDescent="0.25">
      <c r="B598" s="947" t="s">
        <v>13</v>
      </c>
      <c r="C598" s="947"/>
      <c r="D598" s="947"/>
      <c r="E598" s="947"/>
      <c r="F598" s="947"/>
      <c r="G598" s="947"/>
    </row>
    <row r="599" spans="1:17" ht="21" x14ac:dyDescent="0.25">
      <c r="B599" s="667" t="s">
        <v>272</v>
      </c>
      <c r="C599" s="667"/>
      <c r="D599" s="667"/>
      <c r="E599" s="598" t="s">
        <v>580</v>
      </c>
      <c r="F599" s="598" t="s">
        <v>628</v>
      </c>
      <c r="G599" s="598" t="s">
        <v>629</v>
      </c>
    </row>
    <row r="600" spans="1:17" ht="21.75" thickBot="1" x14ac:dyDescent="0.3">
      <c r="B600" s="894" t="s">
        <v>706</v>
      </c>
      <c r="C600" s="894"/>
      <c r="D600" s="894"/>
      <c r="E600" s="621" t="s">
        <v>283</v>
      </c>
      <c r="F600" s="629">
        <v>0.67105263157894735</v>
      </c>
      <c r="G600" s="629">
        <v>0.51</v>
      </c>
      <c r="K600" s="398"/>
      <c r="L600" s="398"/>
      <c r="M600" s="398"/>
      <c r="N600" s="398"/>
      <c r="O600" s="398"/>
    </row>
    <row r="601" spans="1:17" ht="21.75" thickBot="1" x14ac:dyDescent="0.3">
      <c r="A601" s="75"/>
      <c r="B601" s="894" t="s">
        <v>707</v>
      </c>
      <c r="C601" s="894"/>
      <c r="D601" s="894"/>
      <c r="E601" s="610" t="s">
        <v>283</v>
      </c>
      <c r="F601" s="624">
        <v>0.6619718309859155</v>
      </c>
      <c r="G601" s="624">
        <v>0.58750000000000002</v>
      </c>
      <c r="K601" s="398"/>
      <c r="L601" s="398"/>
      <c r="M601" s="398"/>
      <c r="N601" s="398"/>
      <c r="O601" s="398"/>
    </row>
    <row r="602" spans="1:17" ht="21.75" thickBot="1" x14ac:dyDescent="0.3">
      <c r="B602" s="894" t="s">
        <v>708</v>
      </c>
      <c r="C602" s="894"/>
      <c r="D602" s="894"/>
      <c r="E602" s="610" t="s">
        <v>283</v>
      </c>
      <c r="F602" s="624">
        <v>0.7931034482758621</v>
      </c>
      <c r="G602" s="624">
        <v>0.75409836065573765</v>
      </c>
    </row>
    <row r="603" spans="1:17" ht="21.75" thickBot="1" x14ac:dyDescent="0.3">
      <c r="B603" s="894" t="s">
        <v>709</v>
      </c>
      <c r="C603" s="894"/>
      <c r="D603" s="894"/>
      <c r="E603" s="610" t="s">
        <v>283</v>
      </c>
      <c r="F603" s="624">
        <v>0.90769230769230769</v>
      </c>
      <c r="G603" s="624">
        <v>0.85507246376811596</v>
      </c>
    </row>
    <row r="604" spans="1:17" ht="21.75" thickBot="1" x14ac:dyDescent="0.3">
      <c r="B604" s="894" t="s">
        <v>710</v>
      </c>
      <c r="C604" s="894"/>
      <c r="D604" s="894"/>
      <c r="E604" s="610" t="s">
        <v>283</v>
      </c>
      <c r="F604" s="624">
        <v>0.43820224719101125</v>
      </c>
      <c r="G604" s="624">
        <v>0.42857142857142855</v>
      </c>
    </row>
    <row r="605" spans="1:17" ht="21.75" thickBot="1" x14ac:dyDescent="0.3">
      <c r="B605" s="894" t="s">
        <v>711</v>
      </c>
      <c r="C605" s="894"/>
      <c r="D605" s="894"/>
      <c r="E605" s="610" t="s">
        <v>283</v>
      </c>
      <c r="F605" s="624">
        <v>0.45</v>
      </c>
      <c r="G605" s="624">
        <v>0.39130434782608697</v>
      </c>
    </row>
    <row r="606" spans="1:17" ht="21" customHeight="1" thickBot="1" x14ac:dyDescent="0.3">
      <c r="B606" s="894" t="s">
        <v>712</v>
      </c>
      <c r="C606" s="894"/>
      <c r="D606" s="894"/>
      <c r="E606" s="610" t="s">
        <v>309</v>
      </c>
      <c r="F606" s="624">
        <v>0.95454545454545459</v>
      </c>
      <c r="G606" s="624">
        <v>0.95454545454545459</v>
      </c>
    </row>
    <row r="607" spans="1:17" ht="27.75" customHeight="1" thickBot="1" x14ac:dyDescent="0.3">
      <c r="B607" s="894" t="s">
        <v>713</v>
      </c>
      <c r="C607" s="894"/>
      <c r="D607" s="894"/>
      <c r="E607" s="610" t="s">
        <v>309</v>
      </c>
      <c r="F607" s="624">
        <v>0.98360655737704916</v>
      </c>
      <c r="G607" s="624">
        <v>0.98360655737704916</v>
      </c>
    </row>
    <row r="608" spans="1:17" ht="23.25" customHeight="1" thickBot="1" x14ac:dyDescent="0.3">
      <c r="B608" s="894" t="s">
        <v>714</v>
      </c>
      <c r="C608" s="894"/>
      <c r="D608" s="894"/>
      <c r="E608" s="610" t="s">
        <v>309</v>
      </c>
      <c r="F608" s="624">
        <v>1</v>
      </c>
      <c r="G608" s="624">
        <v>0.9375</v>
      </c>
    </row>
    <row r="609" spans="2:7" ht="15.75" thickBot="1" x14ac:dyDescent="0.3">
      <c r="B609" s="894" t="s">
        <v>715</v>
      </c>
      <c r="C609" s="894"/>
      <c r="D609" s="894"/>
      <c r="E609" s="610" t="s">
        <v>309</v>
      </c>
      <c r="F609" s="624">
        <v>0.94827586206896552</v>
      </c>
      <c r="G609" s="624">
        <v>0.87301587301587302</v>
      </c>
    </row>
    <row r="610" spans="2:7" ht="21.75" thickBot="1" x14ac:dyDescent="0.3">
      <c r="B610" s="894" t="s">
        <v>716</v>
      </c>
      <c r="C610" s="894"/>
      <c r="D610" s="894"/>
      <c r="E610" s="610" t="s">
        <v>283</v>
      </c>
      <c r="F610" s="624">
        <v>0.57627118644067798</v>
      </c>
      <c r="G610" s="624">
        <v>0.52307692307692311</v>
      </c>
    </row>
    <row r="611" spans="2:7" ht="15.75" thickBot="1" x14ac:dyDescent="0.3">
      <c r="B611" s="894" t="s">
        <v>717</v>
      </c>
      <c r="C611" s="894"/>
      <c r="D611" s="894"/>
      <c r="E611" s="610" t="s">
        <v>309</v>
      </c>
      <c r="F611" s="624">
        <v>0.66129032258064513</v>
      </c>
      <c r="G611" s="624">
        <v>0.62121212121212122</v>
      </c>
    </row>
    <row r="612" spans="2:7" ht="15.75" thickBot="1" x14ac:dyDescent="0.3">
      <c r="B612" s="894" t="s">
        <v>718</v>
      </c>
      <c r="C612" s="894"/>
      <c r="D612" s="894"/>
      <c r="E612" s="610" t="s">
        <v>309</v>
      </c>
      <c r="F612" s="624">
        <v>0.98039215686274506</v>
      </c>
      <c r="G612" s="624">
        <v>0.94339622641509435</v>
      </c>
    </row>
    <row r="613" spans="2:7" ht="21.75" thickBot="1" x14ac:dyDescent="0.3">
      <c r="B613" s="894" t="s">
        <v>719</v>
      </c>
      <c r="C613" s="894"/>
      <c r="D613" s="894"/>
      <c r="E613" s="610" t="s">
        <v>283</v>
      </c>
      <c r="F613" s="624">
        <v>0.8666666666666667</v>
      </c>
      <c r="G613" s="624">
        <v>0.84782608695652173</v>
      </c>
    </row>
    <row r="614" spans="2:7" ht="22.5" customHeight="1" thickBot="1" x14ac:dyDescent="0.3">
      <c r="B614" s="894" t="s">
        <v>720</v>
      </c>
      <c r="C614" s="894"/>
      <c r="D614" s="894"/>
      <c r="E614" s="610" t="s">
        <v>309</v>
      </c>
      <c r="F614" s="624">
        <v>0.94117647058823528</v>
      </c>
      <c r="G614" s="624">
        <v>0.90566037735849059</v>
      </c>
    </row>
    <row r="615" spans="2:7" ht="15.75" thickBot="1" x14ac:dyDescent="0.3">
      <c r="B615" s="894" t="s">
        <v>721</v>
      </c>
      <c r="C615" s="894"/>
      <c r="D615" s="894"/>
      <c r="E615" s="610" t="s">
        <v>309</v>
      </c>
      <c r="F615" s="624">
        <v>1</v>
      </c>
      <c r="G615" s="624">
        <v>0.96153846153846156</v>
      </c>
    </row>
    <row r="616" spans="2:7" ht="25.5" customHeight="1" thickBot="1" x14ac:dyDescent="0.3">
      <c r="B616" s="894" t="s">
        <v>722</v>
      </c>
      <c r="C616" s="894"/>
      <c r="D616" s="894"/>
      <c r="E616" s="610" t="s">
        <v>309</v>
      </c>
      <c r="F616" s="624">
        <v>0.97916666666666663</v>
      </c>
      <c r="G616" s="624">
        <v>0.90384615384615385</v>
      </c>
    </row>
    <row r="617" spans="2:7" ht="15.75" thickBot="1" x14ac:dyDescent="0.3">
      <c r="B617" s="894" t="s">
        <v>723</v>
      </c>
      <c r="C617" s="894"/>
      <c r="D617" s="894"/>
      <c r="E617" s="610" t="s">
        <v>309</v>
      </c>
      <c r="F617" s="624">
        <v>0.43548387096774194</v>
      </c>
      <c r="G617" s="624">
        <v>0.421875</v>
      </c>
    </row>
    <row r="618" spans="2:7" ht="15.75" thickBot="1" x14ac:dyDescent="0.3">
      <c r="B618" s="894" t="s">
        <v>724</v>
      </c>
      <c r="C618" s="894"/>
      <c r="D618" s="894"/>
      <c r="E618" s="610" t="s">
        <v>309</v>
      </c>
      <c r="F618" s="624">
        <v>1</v>
      </c>
      <c r="G618" s="624">
        <v>0.97727272727272729</v>
      </c>
    </row>
    <row r="619" spans="2:7" ht="24" customHeight="1" thickBot="1" x14ac:dyDescent="0.3">
      <c r="B619" s="894" t="s">
        <v>725</v>
      </c>
      <c r="C619" s="894"/>
      <c r="D619" s="894"/>
      <c r="E619" s="610" t="s">
        <v>309</v>
      </c>
      <c r="F619" s="624">
        <v>1</v>
      </c>
      <c r="G619" s="624">
        <v>1</v>
      </c>
    </row>
    <row r="620" spans="2:7" ht="21.75" thickBot="1" x14ac:dyDescent="0.3">
      <c r="B620" s="894" t="s">
        <v>726</v>
      </c>
      <c r="C620" s="894"/>
      <c r="D620" s="894"/>
      <c r="E620" s="610" t="s">
        <v>283</v>
      </c>
      <c r="F620" s="624">
        <v>1</v>
      </c>
      <c r="G620" s="624">
        <v>0.97826086956521741</v>
      </c>
    </row>
    <row r="621" spans="2:7" ht="15.75" thickBot="1" x14ac:dyDescent="0.3">
      <c r="B621" s="894" t="s">
        <v>727</v>
      </c>
      <c r="C621" s="894"/>
      <c r="D621" s="894"/>
      <c r="E621" s="610" t="s">
        <v>309</v>
      </c>
      <c r="F621" s="624">
        <v>1</v>
      </c>
      <c r="G621" s="624">
        <v>0.94444444444444442</v>
      </c>
    </row>
    <row r="622" spans="2:7" ht="15.75" thickBot="1" x14ac:dyDescent="0.3">
      <c r="B622" s="894" t="s">
        <v>728</v>
      </c>
      <c r="C622" s="894"/>
      <c r="D622" s="894"/>
      <c r="E622" s="610" t="s">
        <v>309</v>
      </c>
      <c r="F622" s="624">
        <v>0.95890410958904104</v>
      </c>
      <c r="G622" s="624">
        <v>0.94594594594594594</v>
      </c>
    </row>
    <row r="623" spans="2:7" ht="26.25" customHeight="1" thickBot="1" x14ac:dyDescent="0.3">
      <c r="B623" s="894" t="s">
        <v>729</v>
      </c>
      <c r="C623" s="894"/>
      <c r="D623" s="894"/>
      <c r="E623" s="610" t="s">
        <v>309</v>
      </c>
      <c r="F623" s="624">
        <v>1</v>
      </c>
      <c r="G623" s="624">
        <v>1</v>
      </c>
    </row>
    <row r="624" spans="2:7" ht="22.5" customHeight="1" thickBot="1" x14ac:dyDescent="0.3">
      <c r="B624" s="894" t="s">
        <v>730</v>
      </c>
      <c r="C624" s="894"/>
      <c r="D624" s="894"/>
      <c r="E624" s="610" t="s">
        <v>309</v>
      </c>
      <c r="F624" s="624">
        <v>0.98076923076923073</v>
      </c>
      <c r="G624" s="624">
        <v>0.98076923076923073</v>
      </c>
    </row>
    <row r="625" spans="2:7" ht="15.75" thickBot="1" x14ac:dyDescent="0.3">
      <c r="B625" s="894" t="s">
        <v>731</v>
      </c>
      <c r="C625" s="894"/>
      <c r="D625" s="894"/>
      <c r="E625" s="610" t="s">
        <v>309</v>
      </c>
      <c r="F625" s="624">
        <v>1</v>
      </c>
      <c r="G625" s="624">
        <v>1</v>
      </c>
    </row>
    <row r="626" spans="2:7" ht="22.5" customHeight="1" thickBot="1" x14ac:dyDescent="0.3">
      <c r="B626" s="894" t="s">
        <v>732</v>
      </c>
      <c r="C626" s="894"/>
      <c r="D626" s="894"/>
      <c r="E626" s="610" t="s">
        <v>309</v>
      </c>
      <c r="F626" s="624">
        <v>1</v>
      </c>
      <c r="G626" s="624">
        <v>1</v>
      </c>
    </row>
    <row r="627" spans="2:7" ht="15.75" thickBot="1" x14ac:dyDescent="0.3">
      <c r="B627" s="894" t="s">
        <v>733</v>
      </c>
      <c r="C627" s="894"/>
      <c r="D627" s="894"/>
      <c r="E627" s="610" t="s">
        <v>309</v>
      </c>
      <c r="F627" s="624">
        <v>0.98181818181818181</v>
      </c>
      <c r="G627" s="624">
        <v>0.9642857142857143</v>
      </c>
    </row>
    <row r="628" spans="2:7" ht="15.75" thickBot="1" x14ac:dyDescent="0.3">
      <c r="B628" s="894" t="s">
        <v>734</v>
      </c>
      <c r="C628" s="894"/>
      <c r="D628" s="894"/>
      <c r="E628" s="610" t="s">
        <v>309</v>
      </c>
      <c r="F628" s="624">
        <v>0.92982456140350878</v>
      </c>
      <c r="G628" s="624">
        <v>0.91379310344827591</v>
      </c>
    </row>
    <row r="629" spans="2:7" ht="26.25" customHeight="1" thickBot="1" x14ac:dyDescent="0.3">
      <c r="B629" s="894" t="s">
        <v>735</v>
      </c>
      <c r="C629" s="894"/>
      <c r="D629" s="894"/>
      <c r="E629" s="610" t="s">
        <v>309</v>
      </c>
      <c r="F629" s="624">
        <v>1</v>
      </c>
      <c r="G629" s="624">
        <v>1</v>
      </c>
    </row>
    <row r="630" spans="2:7" ht="26.25" customHeight="1" thickBot="1" x14ac:dyDescent="0.3">
      <c r="B630" s="894" t="s">
        <v>736</v>
      </c>
      <c r="C630" s="894"/>
      <c r="D630" s="894"/>
      <c r="E630" s="610" t="s">
        <v>309</v>
      </c>
      <c r="F630" s="624">
        <v>0.96</v>
      </c>
      <c r="G630" s="624">
        <v>0.96</v>
      </c>
    </row>
    <row r="631" spans="2:7" ht="15.75" thickBot="1" x14ac:dyDescent="0.3">
      <c r="B631" s="894" t="s">
        <v>738</v>
      </c>
      <c r="C631" s="894"/>
      <c r="D631" s="894"/>
      <c r="E631" s="610" t="s">
        <v>309</v>
      </c>
      <c r="F631" s="624">
        <v>0.93939393939393945</v>
      </c>
      <c r="G631" s="624">
        <v>0.93939393939393945</v>
      </c>
    </row>
    <row r="632" spans="2:7" ht="15.75" thickBot="1" x14ac:dyDescent="0.3">
      <c r="B632" s="894" t="s">
        <v>739</v>
      </c>
      <c r="C632" s="894"/>
      <c r="D632" s="894"/>
      <c r="E632" s="610" t="s">
        <v>309</v>
      </c>
      <c r="F632" s="624">
        <v>0.98181818181818181</v>
      </c>
      <c r="G632" s="624">
        <v>0.98181818181818181</v>
      </c>
    </row>
    <row r="633" spans="2:7" ht="24" customHeight="1" thickBot="1" x14ac:dyDescent="0.3">
      <c r="B633" s="894" t="s">
        <v>740</v>
      </c>
      <c r="C633" s="894"/>
      <c r="D633" s="894"/>
      <c r="E633" s="610" t="s">
        <v>309</v>
      </c>
      <c r="F633" s="624">
        <v>0.98305084745762716</v>
      </c>
      <c r="G633" s="624">
        <v>0.96666666666666667</v>
      </c>
    </row>
    <row r="634" spans="2:7" ht="15.75" thickBot="1" x14ac:dyDescent="0.3">
      <c r="B634" s="894" t="s">
        <v>741</v>
      </c>
      <c r="C634" s="894"/>
      <c r="D634" s="894"/>
      <c r="E634" s="610" t="s">
        <v>353</v>
      </c>
      <c r="F634" s="624" t="s">
        <v>64</v>
      </c>
      <c r="G634" s="624" t="s">
        <v>64</v>
      </c>
    </row>
    <row r="635" spans="2:7" ht="22.5" customHeight="1" thickBot="1" x14ac:dyDescent="0.3">
      <c r="B635" s="894" t="s">
        <v>742</v>
      </c>
      <c r="C635" s="894"/>
      <c r="D635" s="894"/>
      <c r="E635" s="610" t="s">
        <v>353</v>
      </c>
      <c r="F635" s="624">
        <v>1</v>
      </c>
      <c r="G635" s="624">
        <v>1</v>
      </c>
    </row>
    <row r="636" spans="2:7" ht="15.75" thickBot="1" x14ac:dyDescent="0.3">
      <c r="B636" s="894" t="s">
        <v>743</v>
      </c>
      <c r="C636" s="894"/>
      <c r="D636" s="894"/>
      <c r="E636" s="610" t="s">
        <v>353</v>
      </c>
      <c r="F636" s="624">
        <v>1</v>
      </c>
      <c r="G636" s="624">
        <v>1</v>
      </c>
    </row>
    <row r="637" spans="2:7" ht="15.75" thickBot="1" x14ac:dyDescent="0.3">
      <c r="B637" s="894" t="s">
        <v>755</v>
      </c>
      <c r="C637" s="894"/>
      <c r="D637" s="894"/>
      <c r="E637" s="610" t="s">
        <v>353</v>
      </c>
      <c r="F637" s="624">
        <v>1</v>
      </c>
      <c r="G637" s="624">
        <v>1</v>
      </c>
    </row>
    <row r="638" spans="2:7" ht="15.75" thickBot="1" x14ac:dyDescent="0.3">
      <c r="B638" s="894" t="s">
        <v>756</v>
      </c>
      <c r="C638" s="894"/>
      <c r="D638" s="894"/>
      <c r="E638" s="610" t="s">
        <v>309</v>
      </c>
      <c r="F638" s="624">
        <v>1</v>
      </c>
      <c r="G638" s="624">
        <v>0.97560975609756095</v>
      </c>
    </row>
    <row r="639" spans="2:7" ht="15.75" thickBot="1" x14ac:dyDescent="0.3">
      <c r="B639" s="894" t="s">
        <v>757</v>
      </c>
      <c r="C639" s="894"/>
      <c r="D639" s="894"/>
      <c r="E639" s="610" t="s">
        <v>309</v>
      </c>
      <c r="F639" s="624">
        <v>0.93877551020408168</v>
      </c>
      <c r="G639" s="624">
        <v>0.92</v>
      </c>
    </row>
    <row r="640" spans="2:7" ht="15.75" thickBot="1" x14ac:dyDescent="0.3">
      <c r="B640" s="894" t="s">
        <v>758</v>
      </c>
      <c r="C640" s="894"/>
      <c r="D640" s="894"/>
      <c r="E640" s="610" t="s">
        <v>309</v>
      </c>
      <c r="F640" s="624">
        <v>1</v>
      </c>
      <c r="G640" s="624">
        <v>1</v>
      </c>
    </row>
    <row r="641" spans="2:7" ht="15.75" thickBot="1" x14ac:dyDescent="0.3">
      <c r="B641" s="894" t="s">
        <v>759</v>
      </c>
      <c r="C641" s="894"/>
      <c r="D641" s="894"/>
      <c r="E641" s="610" t="s">
        <v>309</v>
      </c>
      <c r="F641" s="624">
        <v>1</v>
      </c>
      <c r="G641" s="624">
        <v>1</v>
      </c>
    </row>
    <row r="642" spans="2:7" ht="15.75" thickBot="1" x14ac:dyDescent="0.3">
      <c r="B642" s="894" t="s">
        <v>169</v>
      </c>
      <c r="C642" s="894"/>
      <c r="D642" s="894"/>
      <c r="E642" s="610" t="s">
        <v>309</v>
      </c>
      <c r="F642" s="624">
        <v>1</v>
      </c>
      <c r="G642" s="624">
        <v>0.89655172413793105</v>
      </c>
    </row>
    <row r="643" spans="2:7" ht="15.75" thickBot="1" x14ac:dyDescent="0.3">
      <c r="B643" s="894" t="s">
        <v>748</v>
      </c>
      <c r="C643" s="894"/>
      <c r="D643" s="894"/>
      <c r="E643" s="610" t="s">
        <v>309</v>
      </c>
      <c r="F643" s="624">
        <v>1</v>
      </c>
      <c r="G643" s="624">
        <v>0.9</v>
      </c>
    </row>
    <row r="644" spans="2:7" ht="15.75" thickBot="1" x14ac:dyDescent="0.3">
      <c r="B644" s="894" t="s">
        <v>749</v>
      </c>
      <c r="C644" s="894"/>
      <c r="D644" s="894"/>
      <c r="E644" s="610" t="s">
        <v>309</v>
      </c>
      <c r="F644" s="624">
        <v>1</v>
      </c>
      <c r="G644" s="624">
        <v>1</v>
      </c>
    </row>
    <row r="645" spans="2:7" ht="15.75" thickBot="1" x14ac:dyDescent="0.3">
      <c r="B645" s="894" t="s">
        <v>750</v>
      </c>
      <c r="C645" s="894"/>
      <c r="D645" s="894"/>
      <c r="E645" s="610" t="s">
        <v>309</v>
      </c>
      <c r="F645" s="624">
        <v>1</v>
      </c>
      <c r="G645" s="624">
        <v>1</v>
      </c>
    </row>
    <row r="646" spans="2:7" ht="15.75" thickBot="1" x14ac:dyDescent="0.3">
      <c r="B646" s="894" t="s">
        <v>751</v>
      </c>
      <c r="C646" s="894"/>
      <c r="D646" s="894"/>
      <c r="E646" s="610" t="s">
        <v>309</v>
      </c>
      <c r="F646" s="624">
        <v>1</v>
      </c>
      <c r="G646" s="624">
        <v>1</v>
      </c>
    </row>
    <row r="647" spans="2:7" ht="15.75" thickBot="1" x14ac:dyDescent="0.3">
      <c r="B647" s="894" t="s">
        <v>752</v>
      </c>
      <c r="C647" s="894"/>
      <c r="D647" s="894"/>
      <c r="E647" s="610" t="s">
        <v>309</v>
      </c>
      <c r="F647" s="624">
        <v>0.86046511627906974</v>
      </c>
      <c r="G647" s="624">
        <v>0.60655737704918034</v>
      </c>
    </row>
    <row r="648" spans="2:7" ht="23.25" customHeight="1" thickBot="1" x14ac:dyDescent="0.3">
      <c r="B648" s="894" t="s">
        <v>760</v>
      </c>
      <c r="C648" s="894"/>
      <c r="D648" s="894"/>
      <c r="E648" s="610" t="s">
        <v>309</v>
      </c>
      <c r="F648" s="624">
        <v>1</v>
      </c>
      <c r="G648" s="624">
        <v>1</v>
      </c>
    </row>
    <row r="649" spans="2:7" ht="15.75" thickBot="1" x14ac:dyDescent="0.3">
      <c r="B649" s="894" t="s">
        <v>761</v>
      </c>
      <c r="C649" s="894"/>
      <c r="D649" s="894"/>
      <c r="E649" s="610" t="s">
        <v>309</v>
      </c>
      <c r="F649" s="624">
        <v>1</v>
      </c>
      <c r="G649" s="624">
        <v>1</v>
      </c>
    </row>
    <row r="650" spans="2:7" ht="15.75" thickBot="1" x14ac:dyDescent="0.3">
      <c r="B650" s="894" t="s">
        <v>762</v>
      </c>
      <c r="C650" s="894"/>
      <c r="D650" s="894"/>
      <c r="E650" s="610" t="s">
        <v>353</v>
      </c>
      <c r="F650" s="624">
        <v>1</v>
      </c>
      <c r="G650" s="624">
        <v>1</v>
      </c>
    </row>
    <row r="651" spans="2:7" ht="24" customHeight="1" thickBot="1" x14ac:dyDescent="0.3">
      <c r="B651" s="894" t="s">
        <v>763</v>
      </c>
      <c r="C651" s="894"/>
      <c r="D651" s="894"/>
      <c r="E651" s="610" t="s">
        <v>353</v>
      </c>
      <c r="F651" s="624">
        <v>0.97674418604651159</v>
      </c>
      <c r="G651" s="624">
        <v>0.97674418604651159</v>
      </c>
    </row>
    <row r="652" spans="2:7" ht="15.75" thickBot="1" x14ac:dyDescent="0.3">
      <c r="B652" s="894" t="s">
        <v>764</v>
      </c>
      <c r="C652" s="894"/>
      <c r="D652" s="894"/>
      <c r="E652" s="610" t="s">
        <v>353</v>
      </c>
      <c r="F652" s="624" t="s">
        <v>64</v>
      </c>
      <c r="G652" s="624" t="s">
        <v>64</v>
      </c>
    </row>
    <row r="653" spans="2:7" ht="15.75" thickBot="1" x14ac:dyDescent="0.3">
      <c r="B653" s="946" t="s">
        <v>765</v>
      </c>
      <c r="C653" s="946"/>
      <c r="D653" s="946"/>
      <c r="E653" s="618" t="s">
        <v>353</v>
      </c>
      <c r="F653" s="626">
        <v>1</v>
      </c>
      <c r="G653" s="626">
        <v>1</v>
      </c>
    </row>
    <row r="654" spans="2:7" x14ac:dyDescent="0.25">
      <c r="B654" s="832" t="s">
        <v>833</v>
      </c>
      <c r="C654" s="832"/>
      <c r="F654" s="398"/>
    </row>
    <row r="655" spans="2:7" x14ac:dyDescent="0.25">
      <c r="B655" s="94" t="s">
        <v>80</v>
      </c>
      <c r="C655" s="94"/>
      <c r="D655" s="94"/>
      <c r="F655" s="398"/>
    </row>
    <row r="656" spans="2:7" x14ac:dyDescent="0.25">
      <c r="B656" s="50" t="s">
        <v>630</v>
      </c>
      <c r="C656" s="50"/>
      <c r="D656" s="50"/>
      <c r="E656" s="50"/>
      <c r="F656" s="398"/>
    </row>
    <row r="657" spans="1:25" x14ac:dyDescent="0.25">
      <c r="B657" s="50" t="s">
        <v>631</v>
      </c>
      <c r="F657" s="398"/>
    </row>
    <row r="658" spans="1:25" x14ac:dyDescent="0.25">
      <c r="B658" s="50"/>
    </row>
    <row r="659" spans="1:25" x14ac:dyDescent="0.25">
      <c r="B659" s="50"/>
    </row>
    <row r="660" spans="1:25" x14ac:dyDescent="0.25">
      <c r="B660" s="88" t="s">
        <v>1258</v>
      </c>
    </row>
    <row r="661" spans="1:25" x14ac:dyDescent="0.25">
      <c r="B661" s="667" t="s">
        <v>2</v>
      </c>
      <c r="C661" s="667"/>
      <c r="D661" s="598" t="s">
        <v>37</v>
      </c>
      <c r="E661" s="598"/>
      <c r="F661" s="598" t="s">
        <v>4</v>
      </c>
      <c r="G661" s="598" t="s">
        <v>5</v>
      </c>
      <c r="H661" s="598" t="s">
        <v>6</v>
      </c>
      <c r="I661" s="598" t="s">
        <v>7</v>
      </c>
      <c r="J661" s="598" t="s">
        <v>8</v>
      </c>
      <c r="K661" s="598" t="s">
        <v>9</v>
      </c>
      <c r="L661" s="598" t="s">
        <v>10</v>
      </c>
      <c r="M661" s="598" t="s">
        <v>11</v>
      </c>
    </row>
    <row r="662" spans="1:25" ht="15" customHeight="1" thickBot="1" x14ac:dyDescent="0.3">
      <c r="B662" s="942" t="s">
        <v>12</v>
      </c>
      <c r="C662" s="943"/>
      <c r="D662" s="944" t="s">
        <v>30</v>
      </c>
      <c r="E662" s="944"/>
      <c r="F662" s="610" t="s">
        <v>64</v>
      </c>
      <c r="G662" s="610" t="s">
        <v>64</v>
      </c>
      <c r="H662" s="624" t="s">
        <v>64</v>
      </c>
      <c r="I662" s="610">
        <v>16</v>
      </c>
      <c r="J662" s="610">
        <v>21</v>
      </c>
      <c r="K662" s="632">
        <v>13</v>
      </c>
      <c r="L662" s="610">
        <v>14</v>
      </c>
      <c r="M662" s="636">
        <v>16</v>
      </c>
      <c r="U662" s="398"/>
      <c r="V662" s="398"/>
      <c r="W662" s="398"/>
      <c r="X662" s="398"/>
      <c r="Y662" s="398"/>
    </row>
    <row r="663" spans="1:25" ht="27" customHeight="1" thickBot="1" x14ac:dyDescent="0.3">
      <c r="B663" s="942"/>
      <c r="C663" s="943"/>
      <c r="D663" s="944" t="s">
        <v>632</v>
      </c>
      <c r="E663" s="944"/>
      <c r="F663" s="624">
        <v>0.89190000000000003</v>
      </c>
      <c r="G663" s="624">
        <v>0.90590000000000004</v>
      </c>
      <c r="H663" s="624">
        <v>0.91639999999999999</v>
      </c>
      <c r="I663" s="624">
        <v>0.88829999999999998</v>
      </c>
      <c r="J663" s="624">
        <v>0.83333333333333337</v>
      </c>
      <c r="K663" s="624">
        <v>0.80389429763560505</v>
      </c>
      <c r="L663" s="624">
        <v>0.78078484438430307</v>
      </c>
      <c r="M663" s="637">
        <v>0.86051502145922742</v>
      </c>
      <c r="U663" s="398"/>
      <c r="V663" s="398"/>
      <c r="W663" s="398"/>
      <c r="X663" s="398"/>
      <c r="Y663" s="398"/>
    </row>
    <row r="664" spans="1:25" ht="26.25" customHeight="1" thickBot="1" x14ac:dyDescent="0.3">
      <c r="B664" s="942"/>
      <c r="C664" s="943"/>
      <c r="D664" s="944" t="s">
        <v>633</v>
      </c>
      <c r="E664" s="944"/>
      <c r="F664" s="624">
        <v>0.89190000000000003</v>
      </c>
      <c r="G664" s="624">
        <v>0.93520000000000003</v>
      </c>
      <c r="H664" s="624">
        <v>0.89470000000000005</v>
      </c>
      <c r="I664" s="624">
        <v>0.86</v>
      </c>
      <c r="J664" s="624">
        <v>0.8</v>
      </c>
      <c r="K664" s="624">
        <v>0.75124378109452739</v>
      </c>
      <c r="L664" s="624">
        <v>0.73114754098360657</v>
      </c>
      <c r="M664" s="637">
        <v>0.82151589242053791</v>
      </c>
      <c r="U664" s="398"/>
      <c r="V664" s="398"/>
      <c r="W664" s="398"/>
      <c r="X664" s="398"/>
      <c r="Y664" s="398"/>
    </row>
    <row r="665" spans="1:25" ht="19.5" customHeight="1" thickBot="1" x14ac:dyDescent="0.3">
      <c r="B665" s="942"/>
      <c r="C665" s="943"/>
      <c r="D665" s="944" t="s">
        <v>634</v>
      </c>
      <c r="E665" s="944"/>
      <c r="F665" s="624">
        <v>2.86E-2</v>
      </c>
      <c r="G665" s="624">
        <v>0</v>
      </c>
      <c r="H665" s="624">
        <v>0.2</v>
      </c>
      <c r="I665" s="624">
        <v>0.15254237288135594</v>
      </c>
      <c r="J665" s="624">
        <v>0.10126582278481013</v>
      </c>
      <c r="K665" s="624">
        <v>0.15596330275229359</v>
      </c>
      <c r="L665" s="624">
        <v>0.28947368421052633</v>
      </c>
      <c r="M665" s="637">
        <v>0.2581</v>
      </c>
      <c r="U665" s="398"/>
      <c r="V665" s="398"/>
      <c r="W665" s="398"/>
      <c r="X665" s="398"/>
      <c r="Y665" s="398"/>
    </row>
    <row r="666" spans="1:25" ht="25.5" customHeight="1" thickBot="1" x14ac:dyDescent="0.3">
      <c r="B666" s="942"/>
      <c r="C666" s="943"/>
      <c r="D666" s="944" t="s">
        <v>635</v>
      </c>
      <c r="E666" s="944"/>
      <c r="F666" s="624" t="s">
        <v>64</v>
      </c>
      <c r="G666" s="624" t="s">
        <v>64</v>
      </c>
      <c r="H666" s="624">
        <v>0.2</v>
      </c>
      <c r="I666" s="624">
        <v>0.14814814814814814</v>
      </c>
      <c r="J666" s="624">
        <v>0.23076923076923078</v>
      </c>
      <c r="K666" s="624">
        <v>0.44736842105263158</v>
      </c>
      <c r="L666" s="624">
        <v>0.48148148148148145</v>
      </c>
      <c r="M666" s="637">
        <v>0.21049999999999999</v>
      </c>
      <c r="U666" s="398"/>
      <c r="V666" s="398"/>
      <c r="W666" s="398"/>
      <c r="X666" s="398"/>
      <c r="Y666" s="398"/>
    </row>
    <row r="667" spans="1:25" ht="18" customHeight="1" thickBot="1" x14ac:dyDescent="0.3">
      <c r="B667" s="942"/>
      <c r="C667" s="943"/>
      <c r="D667" s="944" t="s">
        <v>636</v>
      </c>
      <c r="E667" s="944"/>
      <c r="F667" s="624">
        <v>0.91890000000000005</v>
      </c>
      <c r="G667" s="624">
        <v>0.92030000000000001</v>
      </c>
      <c r="H667" s="624">
        <v>0.92679999999999996</v>
      </c>
      <c r="I667" s="624">
        <v>0.91490000000000005</v>
      </c>
      <c r="J667" s="624">
        <v>0.88600451467268626</v>
      </c>
      <c r="K667" s="624">
        <v>0.86786786786786785</v>
      </c>
      <c r="L667" s="624">
        <v>0.83021582733812949</v>
      </c>
      <c r="M667" s="637">
        <v>0.90723981900452488</v>
      </c>
      <c r="U667" s="398"/>
      <c r="V667" s="398"/>
      <c r="W667" s="398"/>
      <c r="X667" s="398"/>
      <c r="Y667" s="398"/>
    </row>
    <row r="668" spans="1:25" ht="18.75" customHeight="1" thickBot="1" x14ac:dyDescent="0.3">
      <c r="B668" s="942"/>
      <c r="C668" s="943"/>
      <c r="D668" s="944" t="s">
        <v>637</v>
      </c>
      <c r="E668" s="944"/>
      <c r="F668" s="624" t="s">
        <v>64</v>
      </c>
      <c r="G668" s="624" t="s">
        <v>64</v>
      </c>
      <c r="H668" s="624" t="s">
        <v>64</v>
      </c>
      <c r="I668" s="624">
        <v>0.45714285714285713</v>
      </c>
      <c r="J668" s="624">
        <v>0.58333333333333304</v>
      </c>
      <c r="K668" s="624">
        <v>0.34615384615384615</v>
      </c>
      <c r="L668" s="624">
        <v>0.28947368421052633</v>
      </c>
      <c r="M668" s="637">
        <v>0.32258064516129031</v>
      </c>
      <c r="U668" s="398"/>
      <c r="V668" s="398"/>
      <c r="W668" s="398"/>
      <c r="X668" s="398"/>
      <c r="Y668" s="398"/>
    </row>
    <row r="669" spans="1:25" ht="27.75" customHeight="1" thickBot="1" x14ac:dyDescent="0.3">
      <c r="B669" s="942"/>
      <c r="C669" s="943"/>
      <c r="D669" s="944" t="s">
        <v>638</v>
      </c>
      <c r="E669" s="944"/>
      <c r="F669" s="624" t="s">
        <v>64</v>
      </c>
      <c r="G669" s="624" t="s">
        <v>64</v>
      </c>
      <c r="H669" s="624" t="s">
        <v>64</v>
      </c>
      <c r="I669" s="624" t="s">
        <v>64</v>
      </c>
      <c r="J669" s="624">
        <v>0.68571428571428572</v>
      </c>
      <c r="K669" s="624">
        <v>0.59259259259259256</v>
      </c>
      <c r="L669" s="624">
        <v>0.42307692307692307</v>
      </c>
      <c r="M669" s="637">
        <v>0.34210526315789475</v>
      </c>
      <c r="U669" s="398"/>
      <c r="V669" s="398"/>
      <c r="W669" s="398"/>
      <c r="X669" s="398"/>
      <c r="Y669" s="398"/>
    </row>
    <row r="670" spans="1:25" ht="18.75" customHeight="1" thickBot="1" x14ac:dyDescent="0.3">
      <c r="B670" s="942"/>
      <c r="C670" s="943"/>
      <c r="D670" s="944" t="s">
        <v>639</v>
      </c>
      <c r="E670" s="944"/>
      <c r="F670" s="624" t="s">
        <v>64</v>
      </c>
      <c r="G670" s="624" t="s">
        <v>64</v>
      </c>
      <c r="H670" s="624" t="s">
        <v>64</v>
      </c>
      <c r="I670" s="624">
        <v>0.99533437013996895</v>
      </c>
      <c r="J670" s="624">
        <v>0.96885813148788924</v>
      </c>
      <c r="K670" s="624">
        <v>0.93969999999999998</v>
      </c>
      <c r="L670" s="624">
        <v>0.9657</v>
      </c>
      <c r="M670" s="637">
        <v>0.94830000000000003</v>
      </c>
      <c r="U670" s="398"/>
      <c r="V670" s="398"/>
      <c r="W670" s="398"/>
      <c r="X670" s="398"/>
      <c r="Y670" s="398"/>
    </row>
    <row r="671" spans="1:25" ht="30" customHeight="1" thickBot="1" x14ac:dyDescent="0.3">
      <c r="B671" s="942"/>
      <c r="C671" s="943"/>
      <c r="D671" s="945" t="s">
        <v>640</v>
      </c>
      <c r="E671" s="945"/>
      <c r="F671" s="618" t="s">
        <v>64</v>
      </c>
      <c r="G671" s="618" t="s">
        <v>64</v>
      </c>
      <c r="H671" s="626" t="s">
        <v>64</v>
      </c>
      <c r="I671" s="618" t="s">
        <v>641</v>
      </c>
      <c r="J671" s="618" t="s">
        <v>642</v>
      </c>
      <c r="K671" s="634" t="s">
        <v>643</v>
      </c>
      <c r="L671" s="618" t="s">
        <v>644</v>
      </c>
      <c r="M671" s="638" t="s">
        <v>645</v>
      </c>
      <c r="U671" s="398"/>
      <c r="V671" s="398"/>
      <c r="W671" s="398"/>
      <c r="X671" s="398"/>
      <c r="Y671" s="398"/>
    </row>
    <row r="672" spans="1:25" s="72" customFormat="1" x14ac:dyDescent="0.25">
      <c r="A672"/>
      <c r="B672" s="80"/>
      <c r="C672" s="80"/>
      <c r="D672" s="77"/>
      <c r="E672" s="77"/>
      <c r="F672" s="77"/>
      <c r="G672" s="78"/>
      <c r="H672" s="78"/>
      <c r="I672" s="78"/>
      <c r="J672" s="78"/>
      <c r="K672" s="78"/>
      <c r="P672" s="81"/>
      <c r="Q672" s="81"/>
      <c r="R672" s="81"/>
    </row>
    <row r="673" spans="1:25" x14ac:dyDescent="0.25">
      <c r="B673" s="667" t="s">
        <v>2</v>
      </c>
      <c r="C673" s="667"/>
      <c r="D673" s="598" t="s">
        <v>37</v>
      </c>
      <c r="E673" s="598"/>
      <c r="F673" s="598" t="s">
        <v>4</v>
      </c>
      <c r="G673" s="598" t="s">
        <v>5</v>
      </c>
      <c r="H673" s="598" t="s">
        <v>6</v>
      </c>
      <c r="I673" s="598" t="s">
        <v>7</v>
      </c>
      <c r="J673" s="598" t="s">
        <v>8</v>
      </c>
      <c r="K673" s="598" t="s">
        <v>9</v>
      </c>
      <c r="L673" s="598" t="s">
        <v>10</v>
      </c>
      <c r="M673" s="598" t="s">
        <v>11</v>
      </c>
    </row>
    <row r="674" spans="1:25" ht="18.75" customHeight="1" thickBot="1" x14ac:dyDescent="0.3">
      <c r="B674" s="942" t="s">
        <v>13</v>
      </c>
      <c r="C674" s="943"/>
      <c r="D674" s="944" t="s">
        <v>30</v>
      </c>
      <c r="E674" s="944"/>
      <c r="F674" s="610" t="s">
        <v>64</v>
      </c>
      <c r="G674" s="610" t="s">
        <v>64</v>
      </c>
      <c r="H674" s="624" t="s">
        <v>64</v>
      </c>
      <c r="I674" s="610">
        <v>25</v>
      </c>
      <c r="J674" s="610">
        <v>24</v>
      </c>
      <c r="K674" s="632">
        <v>31</v>
      </c>
      <c r="L674" s="610">
        <v>31</v>
      </c>
      <c r="M674" s="636">
        <v>33</v>
      </c>
    </row>
    <row r="675" spans="1:25" ht="27.75" customHeight="1" thickBot="1" x14ac:dyDescent="0.3">
      <c r="B675" s="942"/>
      <c r="C675" s="943"/>
      <c r="D675" s="944" t="s">
        <v>632</v>
      </c>
      <c r="E675" s="944"/>
      <c r="F675" s="624">
        <v>0.90429999999999999</v>
      </c>
      <c r="G675" s="624">
        <v>0.91369999999999996</v>
      </c>
      <c r="H675" s="624">
        <v>0.91727332892124425</v>
      </c>
      <c r="I675" s="624">
        <v>0.85119999999999996</v>
      </c>
      <c r="J675" s="624">
        <v>0.84309999999999996</v>
      </c>
      <c r="K675" s="624">
        <v>0.82523885350318471</v>
      </c>
      <c r="L675" s="624">
        <v>0.8355042798660216</v>
      </c>
      <c r="M675" s="637">
        <v>0.84468976018271791</v>
      </c>
      <c r="T675" s="398"/>
      <c r="U675" s="398"/>
      <c r="V675" s="398"/>
      <c r="W675" s="398"/>
      <c r="X675" s="398"/>
      <c r="Y675" s="398"/>
    </row>
    <row r="676" spans="1:25" ht="29.25" customHeight="1" thickBot="1" x14ac:dyDescent="0.3">
      <c r="A676" s="72"/>
      <c r="B676" s="942"/>
      <c r="C676" s="943"/>
      <c r="D676" s="944" t="s">
        <v>633</v>
      </c>
      <c r="E676" s="944"/>
      <c r="F676" s="624">
        <v>0.90429999999999999</v>
      </c>
      <c r="G676" s="624">
        <v>0.88539999999999996</v>
      </c>
      <c r="H676" s="624">
        <v>0.83653846153846156</v>
      </c>
      <c r="I676" s="624">
        <v>0.71199999999999997</v>
      </c>
      <c r="J676" s="624">
        <v>0.68720000000000003</v>
      </c>
      <c r="K676" s="624">
        <v>0.7407407407407407</v>
      </c>
      <c r="L676" s="624">
        <v>0.72556894243641235</v>
      </c>
      <c r="M676" s="637">
        <v>0.69076305220883538</v>
      </c>
      <c r="T676" s="398"/>
      <c r="U676" s="398"/>
      <c r="V676" s="398"/>
      <c r="W676" s="398"/>
      <c r="X676" s="398"/>
      <c r="Y676" s="398"/>
    </row>
    <row r="677" spans="1:25" ht="21" customHeight="1" thickBot="1" x14ac:dyDescent="0.3">
      <c r="B677" s="942"/>
      <c r="C677" s="943"/>
      <c r="D677" s="944" t="s">
        <v>634</v>
      </c>
      <c r="E677" s="944"/>
      <c r="F677" s="624">
        <v>2.5600000000000001E-2</v>
      </c>
      <c r="G677" s="624">
        <v>2.41E-2</v>
      </c>
      <c r="H677" s="624">
        <f>2/127</f>
        <v>1.5748031496062992E-2</v>
      </c>
      <c r="I677" s="624">
        <f>(83-70)/83</f>
        <v>0.15662650602409639</v>
      </c>
      <c r="J677" s="624">
        <f>(127-(81+25))/127</f>
        <v>0.16535433070866143</v>
      </c>
      <c r="K677" s="624">
        <v>7.7399999999999997E-2</v>
      </c>
      <c r="L677" s="624">
        <v>7.2164948453608241E-2</v>
      </c>
      <c r="M677" s="637">
        <v>0.15246636771300448</v>
      </c>
      <c r="T677" s="398"/>
      <c r="U677" s="398"/>
      <c r="V677" s="398"/>
      <c r="W677" s="398"/>
      <c r="X677" s="398"/>
      <c r="Y677" s="398"/>
    </row>
    <row r="678" spans="1:25" ht="26.25" customHeight="1" thickBot="1" x14ac:dyDescent="0.3">
      <c r="B678" s="942"/>
      <c r="C678" s="943"/>
      <c r="D678" s="944" t="s">
        <v>635</v>
      </c>
      <c r="E678" s="944"/>
      <c r="F678" s="624">
        <v>2.5600000000000001E-2</v>
      </c>
      <c r="G678" s="624">
        <v>4.4400000000000002E-2</v>
      </c>
      <c r="H678" s="624">
        <f>2/50</f>
        <v>0.04</v>
      </c>
      <c r="I678" s="624">
        <v>0.16539999999999999</v>
      </c>
      <c r="J678" s="624">
        <f>8/50</f>
        <v>0.16</v>
      </c>
      <c r="K678" s="624">
        <v>0.1636</v>
      </c>
      <c r="L678" s="624">
        <v>0.14516129032258066</v>
      </c>
      <c r="M678" s="637">
        <v>0.25</v>
      </c>
      <c r="T678" s="398"/>
      <c r="U678" s="398"/>
      <c r="V678" s="398"/>
      <c r="W678" s="398"/>
      <c r="X678" s="398"/>
      <c r="Y678" s="398"/>
    </row>
    <row r="679" spans="1:25" ht="21" customHeight="1" thickBot="1" x14ac:dyDescent="0.3">
      <c r="B679" s="942"/>
      <c r="C679" s="943"/>
      <c r="D679" s="944" t="s">
        <v>636</v>
      </c>
      <c r="E679" s="944"/>
      <c r="F679" s="624">
        <v>0.92820000000000003</v>
      </c>
      <c r="G679" s="624">
        <v>0.94440000000000002</v>
      </c>
      <c r="H679" s="624">
        <v>0.93145161290322576</v>
      </c>
      <c r="I679" s="624">
        <v>0.90249999999999997</v>
      </c>
      <c r="J679" s="624">
        <f>87.6%</f>
        <v>0.87599999999999989</v>
      </c>
      <c r="K679" s="624">
        <v>0.85838509316770184</v>
      </c>
      <c r="L679" s="624">
        <v>0.88039215686274508</v>
      </c>
      <c r="M679" s="637">
        <v>0.88547486033519551</v>
      </c>
      <c r="T679" s="398"/>
      <c r="U679" s="398"/>
      <c r="V679" s="398"/>
      <c r="W679" s="398"/>
      <c r="X679" s="398"/>
      <c r="Y679" s="398"/>
    </row>
    <row r="680" spans="1:25" ht="21.75" customHeight="1" thickBot="1" x14ac:dyDescent="0.3">
      <c r="B680" s="942"/>
      <c r="C680" s="943"/>
      <c r="D680" s="944" t="s">
        <v>766</v>
      </c>
      <c r="E680" s="944"/>
      <c r="F680" s="624" t="s">
        <v>64</v>
      </c>
      <c r="G680" s="624" t="s">
        <v>64</v>
      </c>
      <c r="H680" s="624" t="s">
        <v>64</v>
      </c>
      <c r="I680" s="624">
        <f>25/41</f>
        <v>0.6097560975609756</v>
      </c>
      <c r="J680" s="624">
        <f>19/45</f>
        <v>0.42222222222222222</v>
      </c>
      <c r="K680" s="624">
        <v>0.32</v>
      </c>
      <c r="L680" s="624">
        <v>0.32727272727272727</v>
      </c>
      <c r="M680" s="637">
        <v>0.32258064516129031</v>
      </c>
      <c r="T680" s="398"/>
      <c r="U680" s="398"/>
      <c r="V680" s="398"/>
      <c r="W680" s="398"/>
      <c r="X680" s="398"/>
      <c r="Y680" s="398"/>
    </row>
    <row r="681" spans="1:25" ht="25.5" customHeight="1" thickBot="1" x14ac:dyDescent="0.3">
      <c r="B681" s="942"/>
      <c r="C681" s="943"/>
      <c r="D681" s="944" t="s">
        <v>767</v>
      </c>
      <c r="E681" s="944"/>
      <c r="F681" s="624" t="s">
        <v>64</v>
      </c>
      <c r="G681" s="624" t="s">
        <v>64</v>
      </c>
      <c r="H681" s="624" t="s">
        <v>64</v>
      </c>
      <c r="I681" s="624" t="s">
        <v>64</v>
      </c>
      <c r="J681" s="624">
        <f>30/41</f>
        <v>0.73170731707317072</v>
      </c>
      <c r="K681" s="624">
        <v>0.64439999999999997</v>
      </c>
      <c r="L681" s="624">
        <v>0.57999999999999996</v>
      </c>
      <c r="M681" s="637">
        <v>0.47272727272727272</v>
      </c>
      <c r="T681" s="398"/>
      <c r="U681" s="398"/>
      <c r="V681" s="398"/>
      <c r="W681" s="398"/>
      <c r="X681" s="398"/>
      <c r="Y681" s="398"/>
    </row>
    <row r="682" spans="1:25" ht="20.25" customHeight="1" thickBot="1" x14ac:dyDescent="0.3">
      <c r="B682" s="942"/>
      <c r="C682" s="943"/>
      <c r="D682" s="944" t="s">
        <v>639</v>
      </c>
      <c r="E682" s="944"/>
      <c r="F682" s="624" t="s">
        <v>64</v>
      </c>
      <c r="G682" s="624" t="s">
        <v>64</v>
      </c>
      <c r="H682" s="624" t="s">
        <v>64</v>
      </c>
      <c r="I682" s="624">
        <v>0.98409999999999997</v>
      </c>
      <c r="J682" s="624">
        <v>0.97750000000000004</v>
      </c>
      <c r="K682" s="624">
        <v>0.94667087409277373</v>
      </c>
      <c r="L682" s="624">
        <v>0.9587</v>
      </c>
      <c r="M682" s="637">
        <v>0.93530000000000002</v>
      </c>
      <c r="T682" s="398"/>
      <c r="U682" s="398"/>
      <c r="V682" s="398"/>
      <c r="W682" s="398"/>
      <c r="X682" s="398"/>
      <c r="Y682" s="398"/>
    </row>
    <row r="683" spans="1:25" ht="24" customHeight="1" thickBot="1" x14ac:dyDescent="0.3">
      <c r="B683" s="942"/>
      <c r="C683" s="943"/>
      <c r="D683" s="945" t="s">
        <v>640</v>
      </c>
      <c r="E683" s="945"/>
      <c r="F683" s="618" t="s">
        <v>64</v>
      </c>
      <c r="G683" s="618" t="s">
        <v>64</v>
      </c>
      <c r="H683" s="626" t="s">
        <v>64</v>
      </c>
      <c r="I683" s="618" t="s">
        <v>641</v>
      </c>
      <c r="J683" s="618" t="s">
        <v>768</v>
      </c>
      <c r="K683" s="634" t="s">
        <v>769</v>
      </c>
      <c r="L683" s="618" t="s">
        <v>770</v>
      </c>
      <c r="M683" s="638" t="s">
        <v>771</v>
      </c>
      <c r="T683" s="398"/>
      <c r="U683" s="398"/>
      <c r="V683" s="398"/>
      <c r="W683" s="398"/>
      <c r="X683" s="398"/>
      <c r="Y683" s="398"/>
    </row>
    <row r="684" spans="1:25" x14ac:dyDescent="0.25">
      <c r="B684" s="842" t="s">
        <v>832</v>
      </c>
      <c r="C684" s="842"/>
      <c r="L684" s="64"/>
      <c r="M684" s="398"/>
      <c r="N684" s="398"/>
      <c r="O684" s="398"/>
      <c r="P684" s="398"/>
      <c r="Q684" s="398"/>
      <c r="R684" s="398"/>
      <c r="S684" s="398"/>
      <c r="T684" s="398"/>
      <c r="U684" s="398"/>
      <c r="V684" s="398"/>
      <c r="W684" s="398"/>
      <c r="X684" s="398"/>
      <c r="Y684" s="398"/>
    </row>
    <row r="685" spans="1:25" x14ac:dyDescent="0.25">
      <c r="B685" s="94" t="s">
        <v>80</v>
      </c>
      <c r="C685" s="94"/>
      <c r="D685" s="94"/>
      <c r="E685" s="94"/>
      <c r="L685" s="64"/>
      <c r="M685" s="385"/>
      <c r="N685" s="386"/>
      <c r="O685" s="386"/>
      <c r="P685" s="386"/>
      <c r="Q685" s="72"/>
      <c r="R685" s="72"/>
    </row>
    <row r="686" spans="1:25" x14ac:dyDescent="0.25">
      <c r="B686" s="44" t="s">
        <v>646</v>
      </c>
      <c r="D686" s="94"/>
      <c r="E686" s="94"/>
      <c r="F686" s="86"/>
      <c r="G686" s="86"/>
      <c r="H686" s="86"/>
      <c r="I686" s="86"/>
      <c r="J686" s="86"/>
      <c r="K686" s="86"/>
      <c r="L686" s="64"/>
      <c r="M686" s="65"/>
      <c r="N686" s="66"/>
      <c r="O686" s="66"/>
      <c r="P686" s="66"/>
    </row>
    <row r="687" spans="1:25" x14ac:dyDescent="0.25">
      <c r="B687" s="44" t="s">
        <v>647</v>
      </c>
      <c r="L687" s="64"/>
      <c r="M687" s="65"/>
      <c r="N687" s="66"/>
      <c r="O687" s="66"/>
      <c r="P687" s="66"/>
    </row>
    <row r="688" spans="1:25" x14ac:dyDescent="0.25">
      <c r="B688" s="44" t="s">
        <v>648</v>
      </c>
      <c r="L688" s="64"/>
      <c r="M688" s="65"/>
      <c r="N688" s="66"/>
      <c r="O688" s="66"/>
      <c r="P688" s="66"/>
    </row>
    <row r="689" spans="1:18" x14ac:dyDescent="0.25">
      <c r="B689" s="44" t="s">
        <v>649</v>
      </c>
      <c r="L689" s="64"/>
      <c r="O689" s="66"/>
      <c r="P689" s="66"/>
    </row>
    <row r="690" spans="1:18" x14ac:dyDescent="0.25">
      <c r="B690" s="44" t="s">
        <v>650</v>
      </c>
      <c r="K690" s="64"/>
      <c r="L690" s="65"/>
      <c r="M690" s="66"/>
      <c r="N690" s="66"/>
      <c r="O690" s="66"/>
      <c r="R690" s="15"/>
    </row>
    <row r="691" spans="1:18" x14ac:dyDescent="0.25">
      <c r="B691" s="44" t="s">
        <v>651</v>
      </c>
      <c r="K691" s="64"/>
      <c r="L691" s="65"/>
      <c r="M691" s="66"/>
      <c r="N691" s="66"/>
      <c r="O691" s="66"/>
      <c r="R691" s="15"/>
    </row>
    <row r="692" spans="1:18" x14ac:dyDescent="0.25">
      <c r="B692" s="44" t="s">
        <v>652</v>
      </c>
      <c r="K692" s="64"/>
      <c r="L692" s="65"/>
      <c r="M692" s="66"/>
      <c r="N692" s="66"/>
      <c r="O692" s="66"/>
      <c r="R692" s="15"/>
    </row>
    <row r="693" spans="1:18" x14ac:dyDescent="0.25">
      <c r="B693" s="44" t="s">
        <v>653</v>
      </c>
      <c r="K693" s="64"/>
      <c r="L693" s="65"/>
      <c r="M693" s="66"/>
      <c r="N693" s="66"/>
      <c r="O693" s="66"/>
      <c r="R693" s="15"/>
    </row>
    <row r="694" spans="1:18" x14ac:dyDescent="0.25">
      <c r="B694" s="44" t="s">
        <v>654</v>
      </c>
      <c r="K694" s="64"/>
      <c r="L694" s="65"/>
      <c r="M694" s="66"/>
      <c r="N694" s="66"/>
      <c r="O694" s="66"/>
      <c r="R694" s="15"/>
    </row>
    <row r="695" spans="1:18" x14ac:dyDescent="0.25">
      <c r="B695" s="44" t="s">
        <v>655</v>
      </c>
      <c r="K695" s="64"/>
      <c r="L695" s="65"/>
      <c r="M695" s="66"/>
      <c r="N695" s="66"/>
      <c r="O695" s="66"/>
      <c r="Q695" s="67"/>
      <c r="R695" s="67"/>
    </row>
    <row r="696" spans="1:18" s="86" customFormat="1" x14ac:dyDescent="0.25">
      <c r="A696"/>
      <c r="B696" s="41"/>
    </row>
    <row r="698" spans="1:18" x14ac:dyDescent="0.25">
      <c r="B698" s="387" t="s">
        <v>1259</v>
      </c>
      <c r="C698" s="102"/>
    </row>
    <row r="699" spans="1:18" x14ac:dyDescent="0.25">
      <c r="H699" s="37"/>
      <c r="I699" s="37"/>
      <c r="K699" s="37"/>
    </row>
    <row r="700" spans="1:18" x14ac:dyDescent="0.25">
      <c r="B700" s="938" t="s">
        <v>12</v>
      </c>
      <c r="C700" s="939"/>
      <c r="D700" s="939"/>
      <c r="E700" s="939"/>
      <c r="F700" s="939"/>
      <c r="G700" s="939"/>
      <c r="H700" s="939"/>
      <c r="I700" s="939"/>
      <c r="J700" s="939"/>
      <c r="K700" s="939"/>
      <c r="L700" s="939"/>
      <c r="M700" s="939"/>
      <c r="N700" s="939"/>
    </row>
    <row r="701" spans="1:18" ht="24.75" customHeight="1" x14ac:dyDescent="0.25">
      <c r="B701" s="941" t="s">
        <v>1106</v>
      </c>
      <c r="C701" s="893" t="s">
        <v>1104</v>
      </c>
      <c r="D701" s="893"/>
      <c r="E701" s="893"/>
      <c r="F701" s="893"/>
      <c r="G701" s="893"/>
      <c r="H701" s="935"/>
      <c r="I701" s="893" t="s">
        <v>1105</v>
      </c>
      <c r="J701" s="893"/>
      <c r="K701" s="893"/>
      <c r="L701" s="893"/>
      <c r="M701" s="893"/>
      <c r="N701" s="893"/>
    </row>
    <row r="702" spans="1:18" s="86" customFormat="1" ht="29.25" customHeight="1" x14ac:dyDescent="0.25">
      <c r="B702" s="893"/>
      <c r="C702" s="893" t="s">
        <v>1107</v>
      </c>
      <c r="D702" s="893"/>
      <c r="E702" s="893" t="s">
        <v>1108</v>
      </c>
      <c r="F702" s="893"/>
      <c r="G702" s="893" t="s">
        <v>1109</v>
      </c>
      <c r="H702" s="935"/>
      <c r="I702" s="893" t="s">
        <v>1110</v>
      </c>
      <c r="J702" s="893"/>
      <c r="K702" s="893" t="s">
        <v>1111</v>
      </c>
      <c r="L702" s="893"/>
      <c r="M702" s="893" t="s">
        <v>1112</v>
      </c>
      <c r="N702" s="893"/>
    </row>
    <row r="703" spans="1:18" ht="15.75" thickBot="1" x14ac:dyDescent="0.3">
      <c r="B703" s="642">
        <v>2020</v>
      </c>
      <c r="C703" s="936">
        <v>0</v>
      </c>
      <c r="D703" s="936"/>
      <c r="E703" s="936">
        <v>0</v>
      </c>
      <c r="F703" s="936"/>
      <c r="G703" s="937">
        <v>1</v>
      </c>
      <c r="H703" s="937"/>
      <c r="I703" s="937">
        <v>0.42899999999999999</v>
      </c>
      <c r="J703" s="937"/>
      <c r="K703" s="937">
        <v>0.28599999999999998</v>
      </c>
      <c r="L703" s="937"/>
      <c r="M703" s="937">
        <v>0.28599999999999998</v>
      </c>
      <c r="N703" s="937"/>
    </row>
    <row r="704" spans="1:18" x14ac:dyDescent="0.25">
      <c r="E704" s="398"/>
      <c r="F704" s="398"/>
      <c r="G704" s="398"/>
      <c r="H704" s="398"/>
      <c r="I704" s="398"/>
      <c r="J704" s="398"/>
    </row>
    <row r="707" spans="2:4" x14ac:dyDescent="0.25">
      <c r="B707" s="75"/>
      <c r="C707" s="75"/>
      <c r="D707" s="75"/>
    </row>
    <row r="708" spans="2:4" x14ac:dyDescent="0.25">
      <c r="B708" s="394"/>
      <c r="C708" s="75"/>
      <c r="D708" s="75"/>
    </row>
    <row r="709" spans="2:4" x14ac:dyDescent="0.25">
      <c r="B709" s="395"/>
      <c r="C709" s="395"/>
      <c r="D709" s="75"/>
    </row>
    <row r="710" spans="2:4" x14ac:dyDescent="0.25">
      <c r="B710" s="395"/>
      <c r="C710" s="393"/>
      <c r="D710" s="75"/>
    </row>
    <row r="711" spans="2:4" x14ac:dyDescent="0.25">
      <c r="B711" s="395"/>
      <c r="C711" s="393"/>
      <c r="D711" s="75"/>
    </row>
    <row r="723" spans="2:14" x14ac:dyDescent="0.25">
      <c r="B723" s="938" t="s">
        <v>13</v>
      </c>
      <c r="C723" s="939"/>
      <c r="D723" s="939"/>
      <c r="E723" s="939"/>
      <c r="F723" s="939"/>
      <c r="G723" s="939"/>
      <c r="H723" s="939"/>
      <c r="I723" s="939"/>
      <c r="J723" s="939"/>
      <c r="K723" s="939"/>
      <c r="L723" s="939"/>
      <c r="M723" s="939"/>
      <c r="N723" s="939"/>
    </row>
    <row r="724" spans="2:14" ht="23.25" customHeight="1" x14ac:dyDescent="0.25">
      <c r="B724" s="941" t="s">
        <v>1106</v>
      </c>
      <c r="C724" s="893" t="s">
        <v>1104</v>
      </c>
      <c r="D724" s="893"/>
      <c r="E724" s="893"/>
      <c r="F724" s="893"/>
      <c r="G724" s="893"/>
      <c r="H724" s="935"/>
      <c r="I724" s="940" t="s">
        <v>1105</v>
      </c>
      <c r="J724" s="941"/>
      <c r="K724" s="941"/>
      <c r="L724" s="941"/>
      <c r="M724" s="941"/>
      <c r="N724" s="941"/>
    </row>
    <row r="725" spans="2:14" ht="31.5" customHeight="1" x14ac:dyDescent="0.25">
      <c r="B725" s="893"/>
      <c r="C725" s="893" t="s">
        <v>1107</v>
      </c>
      <c r="D725" s="893"/>
      <c r="E725" s="893" t="s">
        <v>1108</v>
      </c>
      <c r="F725" s="893"/>
      <c r="G725" s="893" t="s">
        <v>1109</v>
      </c>
      <c r="H725" s="935"/>
      <c r="I725" s="893" t="s">
        <v>1110</v>
      </c>
      <c r="J725" s="893"/>
      <c r="K725" s="893" t="s">
        <v>1111</v>
      </c>
      <c r="L725" s="893"/>
      <c r="M725" s="941" t="s">
        <v>1112</v>
      </c>
      <c r="N725" s="941"/>
    </row>
    <row r="726" spans="2:14" ht="15.75" thickBot="1" x14ac:dyDescent="0.3">
      <c r="B726" s="642">
        <v>2020</v>
      </c>
      <c r="C726" s="936">
        <v>0</v>
      </c>
      <c r="D726" s="936"/>
      <c r="E726" s="936">
        <v>0</v>
      </c>
      <c r="F726" s="936"/>
      <c r="G726" s="937">
        <v>1</v>
      </c>
      <c r="H726" s="937"/>
      <c r="I726" s="937">
        <v>1</v>
      </c>
      <c r="J726" s="937"/>
      <c r="K726" s="937">
        <v>0</v>
      </c>
      <c r="L726" s="937"/>
      <c r="M726" s="937">
        <v>0</v>
      </c>
      <c r="N726" s="937"/>
    </row>
    <row r="727" spans="2:14" x14ac:dyDescent="0.25">
      <c r="B727" s="86"/>
      <c r="C727" s="86"/>
      <c r="D727" s="86"/>
      <c r="E727" s="398"/>
      <c r="F727" s="398"/>
      <c r="G727" s="398"/>
      <c r="H727" s="398"/>
      <c r="I727" s="398"/>
      <c r="J727" s="398"/>
      <c r="K727" s="398"/>
    </row>
    <row r="728" spans="2:14" x14ac:dyDescent="0.25">
      <c r="B728" s="86"/>
      <c r="C728" s="86"/>
      <c r="D728" s="86"/>
      <c r="E728" s="86"/>
      <c r="F728" s="86"/>
      <c r="G728" s="86"/>
      <c r="H728" s="86"/>
    </row>
    <row r="729" spans="2:14" x14ac:dyDescent="0.25">
      <c r="B729" s="86"/>
      <c r="C729" s="86"/>
      <c r="D729" s="86"/>
      <c r="E729" s="86"/>
      <c r="F729" s="86"/>
      <c r="G729" s="86"/>
      <c r="H729" s="86"/>
    </row>
    <row r="730" spans="2:14" x14ac:dyDescent="0.25">
      <c r="B730" s="75"/>
      <c r="C730" s="75"/>
      <c r="D730" s="75"/>
      <c r="E730" s="86"/>
      <c r="F730" s="86"/>
      <c r="G730" s="86"/>
      <c r="H730" s="86"/>
    </row>
    <row r="731" spans="2:14" x14ac:dyDescent="0.25">
      <c r="B731" s="394"/>
      <c r="C731" s="75"/>
      <c r="D731" s="75"/>
      <c r="E731" s="86"/>
      <c r="F731" s="86"/>
      <c r="G731" s="86"/>
      <c r="H731" s="86"/>
    </row>
    <row r="732" spans="2:14" x14ac:dyDescent="0.25">
      <c r="B732" s="395"/>
      <c r="C732" s="395"/>
      <c r="D732" s="75"/>
      <c r="E732" s="86"/>
      <c r="F732" s="86"/>
      <c r="G732" s="86"/>
      <c r="H732" s="86"/>
    </row>
    <row r="733" spans="2:14" x14ac:dyDescent="0.25">
      <c r="B733" s="395"/>
      <c r="C733" s="393"/>
      <c r="D733" s="75"/>
      <c r="E733" s="86"/>
      <c r="F733" s="86"/>
      <c r="G733" s="86"/>
      <c r="H733" s="86"/>
    </row>
    <row r="734" spans="2:14" x14ac:dyDescent="0.25">
      <c r="B734" s="395"/>
      <c r="C734" s="393"/>
      <c r="D734" s="75"/>
      <c r="E734" s="86"/>
      <c r="F734" s="86"/>
      <c r="G734" s="86"/>
      <c r="H734" s="86"/>
    </row>
    <row r="735" spans="2:14" x14ac:dyDescent="0.25">
      <c r="B735" s="86"/>
      <c r="C735" s="86"/>
      <c r="D735" s="86"/>
      <c r="E735" s="86"/>
      <c r="F735" s="86"/>
      <c r="G735" s="86"/>
      <c r="H735" s="86"/>
    </row>
    <row r="736" spans="2:14" x14ac:dyDescent="0.25">
      <c r="B736" s="86"/>
      <c r="C736" s="86"/>
      <c r="D736" s="86"/>
      <c r="E736" s="86"/>
      <c r="F736" s="86"/>
      <c r="G736" s="86"/>
      <c r="H736" s="86"/>
    </row>
    <row r="737" spans="2:8" x14ac:dyDescent="0.25">
      <c r="B737" s="86"/>
      <c r="C737" s="86"/>
      <c r="D737" s="86"/>
      <c r="E737" s="86"/>
      <c r="F737" s="86"/>
      <c r="G737" s="86"/>
      <c r="H737" s="86"/>
    </row>
    <row r="738" spans="2:8" x14ac:dyDescent="0.25">
      <c r="B738" s="86"/>
      <c r="C738" s="86"/>
      <c r="D738" s="86"/>
      <c r="E738" s="86"/>
      <c r="F738" s="86"/>
      <c r="G738" s="86"/>
      <c r="H738" s="86"/>
    </row>
    <row r="739" spans="2:8" x14ac:dyDescent="0.25">
      <c r="B739" s="86"/>
      <c r="C739" s="86"/>
      <c r="D739" s="86"/>
      <c r="E739" s="86"/>
      <c r="F739" s="86"/>
      <c r="G739" s="86"/>
      <c r="H739" s="86"/>
    </row>
    <row r="740" spans="2:8" x14ac:dyDescent="0.25">
      <c r="B740" s="86"/>
      <c r="C740" s="86"/>
      <c r="D740" s="86"/>
      <c r="E740" s="86"/>
      <c r="F740" s="86"/>
      <c r="G740" s="86"/>
      <c r="H740" s="86"/>
    </row>
    <row r="741" spans="2:8" x14ac:dyDescent="0.25">
      <c r="B741" s="86"/>
      <c r="C741" s="86"/>
      <c r="D741" s="86"/>
      <c r="E741" s="86"/>
      <c r="F741" s="86"/>
      <c r="G741" s="86"/>
      <c r="H741" s="86"/>
    </row>
    <row r="742" spans="2:8" x14ac:dyDescent="0.25">
      <c r="B742" s="86"/>
      <c r="C742" s="86"/>
      <c r="D742" s="86"/>
      <c r="E742" s="86"/>
      <c r="F742" s="86"/>
      <c r="G742" s="86"/>
      <c r="H742" s="86"/>
    </row>
    <row r="743" spans="2:8" x14ac:dyDescent="0.25">
      <c r="B743" s="86"/>
      <c r="C743" s="86"/>
      <c r="D743" s="86"/>
      <c r="E743" s="86"/>
      <c r="F743" s="86"/>
      <c r="G743" s="86"/>
      <c r="H743" s="86"/>
    </row>
    <row r="744" spans="2:8" x14ac:dyDescent="0.25">
      <c r="B744" s="86"/>
      <c r="C744" s="86"/>
      <c r="D744" s="86"/>
      <c r="E744" s="86"/>
      <c r="F744" s="86"/>
      <c r="G744" s="86"/>
      <c r="H744" s="86"/>
    </row>
    <row r="745" spans="2:8" x14ac:dyDescent="0.25">
      <c r="B745" s="86"/>
      <c r="C745" s="86"/>
      <c r="D745" s="86"/>
      <c r="E745" s="86"/>
      <c r="F745" s="86"/>
      <c r="G745" s="86"/>
      <c r="H745" s="86"/>
    </row>
  </sheetData>
  <mergeCells count="1609">
    <mergeCell ref="B225:C225"/>
    <mergeCell ref="B224:C224"/>
    <mergeCell ref="B223:C223"/>
    <mergeCell ref="B222:C222"/>
    <mergeCell ref="B212:C212"/>
    <mergeCell ref="B211:C211"/>
    <mergeCell ref="B210:C210"/>
    <mergeCell ref="B209:C209"/>
    <mergeCell ref="B208:C208"/>
    <mergeCell ref="B207:C207"/>
    <mergeCell ref="B206:C206"/>
    <mergeCell ref="B205:C205"/>
    <mergeCell ref="B204:C204"/>
    <mergeCell ref="B221:C221"/>
    <mergeCell ref="B220:C220"/>
    <mergeCell ref="B219:C219"/>
    <mergeCell ref="B724:B725"/>
    <mergeCell ref="B407:C411"/>
    <mergeCell ref="B232:C232"/>
    <mergeCell ref="B238:C238"/>
    <mergeCell ref="B244:C244"/>
    <mergeCell ref="B250:C250"/>
    <mergeCell ref="B256:C256"/>
    <mergeCell ref="B262:C262"/>
    <mergeCell ref="B268:C268"/>
    <mergeCell ref="B274:C274"/>
    <mergeCell ref="B280:C280"/>
    <mergeCell ref="B292:C292"/>
    <mergeCell ref="B298:C298"/>
    <mergeCell ref="B304:C304"/>
    <mergeCell ref="B310:C310"/>
    <mergeCell ref="B316:C316"/>
    <mergeCell ref="E447:E448"/>
    <mergeCell ref="B183:C183"/>
    <mergeCell ref="D183:E183"/>
    <mergeCell ref="F183:G183"/>
    <mergeCell ref="B184:C184"/>
    <mergeCell ref="D191:E191"/>
    <mergeCell ref="D190:E190"/>
    <mergeCell ref="B190:C191"/>
    <mergeCell ref="B200:C200"/>
    <mergeCell ref="B199:C199"/>
    <mergeCell ref="B197:C197"/>
    <mergeCell ref="B196:C196"/>
    <mergeCell ref="B195:C195"/>
    <mergeCell ref="B194:C194"/>
    <mergeCell ref="B193:C193"/>
    <mergeCell ref="B192:C192"/>
    <mergeCell ref="D195:E195"/>
    <mergeCell ref="D194:E194"/>
    <mergeCell ref="D193:E193"/>
    <mergeCell ref="D200:E200"/>
    <mergeCell ref="D199:E199"/>
    <mergeCell ref="D196:E196"/>
    <mergeCell ref="D197:E197"/>
    <mergeCell ref="F193:G193"/>
    <mergeCell ref="D225:E225"/>
    <mergeCell ref="D224:E224"/>
    <mergeCell ref="D223:E223"/>
    <mergeCell ref="D222:E222"/>
    <mergeCell ref="D221:E221"/>
    <mergeCell ref="B198:C198"/>
    <mergeCell ref="D198:E198"/>
    <mergeCell ref="F198:G198"/>
    <mergeCell ref="D411:F411"/>
    <mergeCell ref="D404:F404"/>
    <mergeCell ref="D403:F403"/>
    <mergeCell ref="D402:F402"/>
    <mergeCell ref="D401:F401"/>
    <mergeCell ref="B177:C177"/>
    <mergeCell ref="D177:E177"/>
    <mergeCell ref="F177:G177"/>
    <mergeCell ref="B178:C178"/>
    <mergeCell ref="D178:E178"/>
    <mergeCell ref="F178:G178"/>
    <mergeCell ref="B179:C179"/>
    <mergeCell ref="D179:E179"/>
    <mergeCell ref="F179:G179"/>
    <mergeCell ref="D192:E192"/>
    <mergeCell ref="B180:C180"/>
    <mergeCell ref="D180:E180"/>
    <mergeCell ref="F180:G180"/>
    <mergeCell ref="B181:C181"/>
    <mergeCell ref="D181:E181"/>
    <mergeCell ref="F181:G181"/>
    <mergeCell ref="B182:C182"/>
    <mergeCell ref="D182:E182"/>
    <mergeCell ref="F182:G182"/>
    <mergeCell ref="F190:G190"/>
    <mergeCell ref="F191:G191"/>
    <mergeCell ref="F192:G192"/>
    <mergeCell ref="B189:C189"/>
    <mergeCell ref="B228:C228"/>
    <mergeCell ref="B227:C227"/>
    <mergeCell ref="B226:C226"/>
    <mergeCell ref="F212:G212"/>
    <mergeCell ref="K447:V447"/>
    <mergeCell ref="G451:H451"/>
    <mergeCell ref="G450:H450"/>
    <mergeCell ref="G449:H449"/>
    <mergeCell ref="G447:H448"/>
    <mergeCell ref="G456:H456"/>
    <mergeCell ref="G485:H485"/>
    <mergeCell ref="G484:H484"/>
    <mergeCell ref="G483:H483"/>
    <mergeCell ref="H190:H191"/>
    <mergeCell ref="E493:E494"/>
    <mergeCell ref="F493:F494"/>
    <mergeCell ref="K493:V493"/>
    <mergeCell ref="K494:L494"/>
    <mergeCell ref="M494:N494"/>
    <mergeCell ref="O494:P494"/>
    <mergeCell ref="Q494:R494"/>
    <mergeCell ref="S494:T494"/>
    <mergeCell ref="H331:H332"/>
    <mergeCell ref="U494:V494"/>
    <mergeCell ref="H289:H290"/>
    <mergeCell ref="D215:E215"/>
    <mergeCell ref="D214:E214"/>
    <mergeCell ref="D213:E213"/>
    <mergeCell ref="D212:E212"/>
    <mergeCell ref="D211:E211"/>
    <mergeCell ref="D210:E210"/>
    <mergeCell ref="D209:E209"/>
    <mergeCell ref="D208:E208"/>
    <mergeCell ref="D207:E207"/>
    <mergeCell ref="D206:E206"/>
    <mergeCell ref="D205:E205"/>
    <mergeCell ref="B176:C176"/>
    <mergeCell ref="D176:E176"/>
    <mergeCell ref="F176:G176"/>
    <mergeCell ref="A387:A388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B174:C174"/>
    <mergeCell ref="D174:E174"/>
    <mergeCell ref="B175:C175"/>
    <mergeCell ref="D175:E175"/>
    <mergeCell ref="D69:E69"/>
    <mergeCell ref="D189:E189"/>
    <mergeCell ref="F189:G189"/>
    <mergeCell ref="B218:C218"/>
    <mergeCell ref="B217:C217"/>
    <mergeCell ref="B216:C216"/>
    <mergeCell ref="B215:C215"/>
    <mergeCell ref="B214:C214"/>
    <mergeCell ref="D79:E79"/>
    <mergeCell ref="D80:E80"/>
    <mergeCell ref="F447:F448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F174:G174"/>
    <mergeCell ref="D173:G173"/>
    <mergeCell ref="F175:G175"/>
    <mergeCell ref="D204:E204"/>
    <mergeCell ref="D203:E203"/>
    <mergeCell ref="D202:E202"/>
    <mergeCell ref="D201:E201"/>
    <mergeCell ref="D220:E220"/>
    <mergeCell ref="D219:E219"/>
    <mergeCell ref="D218:E218"/>
    <mergeCell ref="D217:E217"/>
    <mergeCell ref="D216:E216"/>
    <mergeCell ref="D230:E230"/>
    <mergeCell ref="D229:E229"/>
    <mergeCell ref="D228:E228"/>
    <mergeCell ref="D227:E227"/>
    <mergeCell ref="D226:E226"/>
    <mergeCell ref="D46:E46"/>
    <mergeCell ref="F17:G17"/>
    <mergeCell ref="F16:G16"/>
    <mergeCell ref="F15:G15"/>
    <mergeCell ref="D27:E27"/>
    <mergeCell ref="D26:E26"/>
    <mergeCell ref="D25:E25"/>
    <mergeCell ref="D24:E24"/>
    <mergeCell ref="D23:E23"/>
    <mergeCell ref="D22:E22"/>
    <mergeCell ref="D20:E20"/>
    <mergeCell ref="D21:E21"/>
    <mergeCell ref="D19:E19"/>
    <mergeCell ref="B14:C14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D47:E47"/>
    <mergeCell ref="D48:E48"/>
    <mergeCell ref="D49:E49"/>
    <mergeCell ref="D50:E50"/>
    <mergeCell ref="D51:E51"/>
    <mergeCell ref="D52:E52"/>
    <mergeCell ref="D53:E53"/>
    <mergeCell ref="D54:E54"/>
    <mergeCell ref="B27:C27"/>
    <mergeCell ref="B13:G13"/>
    <mergeCell ref="F26:G26"/>
    <mergeCell ref="B30:C30"/>
    <mergeCell ref="D30:E30"/>
    <mergeCell ref="D31:E31"/>
    <mergeCell ref="D32:E32"/>
    <mergeCell ref="B31:C33"/>
    <mergeCell ref="B29:G29"/>
    <mergeCell ref="D18:E18"/>
    <mergeCell ref="D17:E17"/>
    <mergeCell ref="D16:E16"/>
    <mergeCell ref="D15:E15"/>
    <mergeCell ref="D14:E14"/>
    <mergeCell ref="F14:G14"/>
    <mergeCell ref="F27:G27"/>
    <mergeCell ref="F25:G25"/>
    <mergeCell ref="F24:G24"/>
    <mergeCell ref="F23:G23"/>
    <mergeCell ref="F22:G22"/>
    <mergeCell ref="F21:G21"/>
    <mergeCell ref="F20:G20"/>
    <mergeCell ref="F18:G18"/>
    <mergeCell ref="F19:G19"/>
    <mergeCell ref="D81:E81"/>
    <mergeCell ref="D82:E82"/>
    <mergeCell ref="D83:E83"/>
    <mergeCell ref="D84:E84"/>
    <mergeCell ref="D85:E85"/>
    <mergeCell ref="D86:E86"/>
    <mergeCell ref="D87:E87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129:E129"/>
    <mergeCell ref="D130:E130"/>
    <mergeCell ref="D131:E131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38:E138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41:E141"/>
    <mergeCell ref="D142:E142"/>
    <mergeCell ref="D143:E143"/>
    <mergeCell ref="D144:E144"/>
    <mergeCell ref="D145:E145"/>
    <mergeCell ref="D146:E146"/>
    <mergeCell ref="D147:E147"/>
    <mergeCell ref="B34:C35"/>
    <mergeCell ref="B77:C77"/>
    <mergeCell ref="B76:C76"/>
    <mergeCell ref="B75:C75"/>
    <mergeCell ref="B74:C74"/>
    <mergeCell ref="B73:C73"/>
    <mergeCell ref="B72:C72"/>
    <mergeCell ref="B71:C71"/>
    <mergeCell ref="B70:C70"/>
    <mergeCell ref="B69:C69"/>
    <mergeCell ref="B68:C68"/>
    <mergeCell ref="D132:E132"/>
    <mergeCell ref="D133:E133"/>
    <mergeCell ref="D134:E134"/>
    <mergeCell ref="D135:E135"/>
    <mergeCell ref="D136:E136"/>
    <mergeCell ref="D137:E137"/>
    <mergeCell ref="D139:E139"/>
    <mergeCell ref="D140:E140"/>
    <mergeCell ref="D123:E123"/>
    <mergeCell ref="D124:E124"/>
    <mergeCell ref="D125:E125"/>
    <mergeCell ref="D126:E126"/>
    <mergeCell ref="D127:E127"/>
    <mergeCell ref="D128:E128"/>
    <mergeCell ref="B58:C58"/>
    <mergeCell ref="B57:C57"/>
    <mergeCell ref="B55:C55"/>
    <mergeCell ref="B54:C54"/>
    <mergeCell ref="B51:C53"/>
    <mergeCell ref="B49:C50"/>
    <mergeCell ref="B47:C48"/>
    <mergeCell ref="B46:C46"/>
    <mergeCell ref="B45:C45"/>
    <mergeCell ref="B67:C67"/>
    <mergeCell ref="B66:C66"/>
    <mergeCell ref="B65:C65"/>
    <mergeCell ref="B64:C64"/>
    <mergeCell ref="B63:C63"/>
    <mergeCell ref="B62:C62"/>
    <mergeCell ref="B61:C61"/>
    <mergeCell ref="B60:C60"/>
    <mergeCell ref="B59:C59"/>
    <mergeCell ref="B100:C100"/>
    <mergeCell ref="B99:C99"/>
    <mergeCell ref="B98:C98"/>
    <mergeCell ref="B106:C106"/>
    <mergeCell ref="B105:C105"/>
    <mergeCell ref="B104:C104"/>
    <mergeCell ref="B103:C103"/>
    <mergeCell ref="B102:C102"/>
    <mergeCell ref="B108:C108"/>
    <mergeCell ref="B107:C107"/>
    <mergeCell ref="B42:C44"/>
    <mergeCell ref="B39:C41"/>
    <mergeCell ref="B82:C82"/>
    <mergeCell ref="B81:C81"/>
    <mergeCell ref="B80:C80"/>
    <mergeCell ref="B79:C79"/>
    <mergeCell ref="B78:C78"/>
    <mergeCell ref="B97:C97"/>
    <mergeCell ref="B96:C96"/>
    <mergeCell ref="B95:C95"/>
    <mergeCell ref="B94:C94"/>
    <mergeCell ref="B93:C93"/>
    <mergeCell ref="B92:C92"/>
    <mergeCell ref="B91:C91"/>
    <mergeCell ref="B90:C90"/>
    <mergeCell ref="B89:C89"/>
    <mergeCell ref="B88:C88"/>
    <mergeCell ref="B87:C87"/>
    <mergeCell ref="B86:C86"/>
    <mergeCell ref="B85:C85"/>
    <mergeCell ref="B84:C84"/>
    <mergeCell ref="B83:C83"/>
    <mergeCell ref="B137:C137"/>
    <mergeCell ref="B126:C126"/>
    <mergeCell ref="B125:C125"/>
    <mergeCell ref="B124:C124"/>
    <mergeCell ref="B123:C123"/>
    <mergeCell ref="B122:C122"/>
    <mergeCell ref="B121:C121"/>
    <mergeCell ref="B134:C134"/>
    <mergeCell ref="B133:C133"/>
    <mergeCell ref="B132:C132"/>
    <mergeCell ref="B131:C131"/>
    <mergeCell ref="B130:C130"/>
    <mergeCell ref="B129:C129"/>
    <mergeCell ref="B128:C128"/>
    <mergeCell ref="B127:C127"/>
    <mergeCell ref="B109:C109"/>
    <mergeCell ref="B110:C110"/>
    <mergeCell ref="B111:C111"/>
    <mergeCell ref="B119:C120"/>
    <mergeCell ref="B118:C118"/>
    <mergeCell ref="B117:C117"/>
    <mergeCell ref="B116:C116"/>
    <mergeCell ref="B115:C115"/>
    <mergeCell ref="B114:C114"/>
    <mergeCell ref="B112:C113"/>
    <mergeCell ref="B135:C135"/>
    <mergeCell ref="B136:C136"/>
    <mergeCell ref="B147:C147"/>
    <mergeCell ref="B146:C146"/>
    <mergeCell ref="F148:G148"/>
    <mergeCell ref="D148:E148"/>
    <mergeCell ref="B148:C148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B141:C141"/>
    <mergeCell ref="B145:C145"/>
    <mergeCell ref="B144:C144"/>
    <mergeCell ref="B143:C143"/>
    <mergeCell ref="B142:C142"/>
    <mergeCell ref="B140:C140"/>
    <mergeCell ref="B139:C139"/>
    <mergeCell ref="B138:C138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125:G125"/>
    <mergeCell ref="F126:G126"/>
    <mergeCell ref="F127:G127"/>
    <mergeCell ref="F110:G110"/>
    <mergeCell ref="F111:G111"/>
    <mergeCell ref="F112:G112"/>
    <mergeCell ref="F113:G113"/>
    <mergeCell ref="F114:G114"/>
    <mergeCell ref="F115:G115"/>
    <mergeCell ref="F116:G116"/>
    <mergeCell ref="F117:G117"/>
    <mergeCell ref="F118:G118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46:G146"/>
    <mergeCell ref="F147:G147"/>
    <mergeCell ref="B36:C38"/>
    <mergeCell ref="B56:C56"/>
    <mergeCell ref="B101:C101"/>
    <mergeCell ref="B149:C149"/>
    <mergeCell ref="B155:C155"/>
    <mergeCell ref="D155:E155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19:G119"/>
    <mergeCell ref="F120:G120"/>
    <mergeCell ref="F121:G121"/>
    <mergeCell ref="F122:G122"/>
    <mergeCell ref="F123:G123"/>
    <mergeCell ref="F124:G124"/>
    <mergeCell ref="B159:C159"/>
    <mergeCell ref="D159:E159"/>
    <mergeCell ref="F159:G159"/>
    <mergeCell ref="B160:C160"/>
    <mergeCell ref="D160:E160"/>
    <mergeCell ref="F160:G160"/>
    <mergeCell ref="B161:C161"/>
    <mergeCell ref="D161:E161"/>
    <mergeCell ref="F161:G161"/>
    <mergeCell ref="B156:C156"/>
    <mergeCell ref="D156:E156"/>
    <mergeCell ref="F155:G155"/>
    <mergeCell ref="D154:G154"/>
    <mergeCell ref="F156:G156"/>
    <mergeCell ref="B157:C157"/>
    <mergeCell ref="D157:E157"/>
    <mergeCell ref="F157:G157"/>
    <mergeCell ref="B158:C158"/>
    <mergeCell ref="D158:E158"/>
    <mergeCell ref="F158:G158"/>
    <mergeCell ref="B168:C168"/>
    <mergeCell ref="B165:C165"/>
    <mergeCell ref="D165:E165"/>
    <mergeCell ref="F165:G165"/>
    <mergeCell ref="B166:C166"/>
    <mergeCell ref="D166:E166"/>
    <mergeCell ref="F166:G166"/>
    <mergeCell ref="B167:C167"/>
    <mergeCell ref="D167:E167"/>
    <mergeCell ref="F167:G167"/>
    <mergeCell ref="B162:C162"/>
    <mergeCell ref="D162:E162"/>
    <mergeCell ref="F162:G162"/>
    <mergeCell ref="B163:C163"/>
    <mergeCell ref="D163:E163"/>
    <mergeCell ref="F163:G163"/>
    <mergeCell ref="B164:C164"/>
    <mergeCell ref="D164:E164"/>
    <mergeCell ref="F164:G164"/>
    <mergeCell ref="F210:G210"/>
    <mergeCell ref="F209:G209"/>
    <mergeCell ref="F208:G208"/>
    <mergeCell ref="F207:G207"/>
    <mergeCell ref="F206:G206"/>
    <mergeCell ref="F205:G205"/>
    <mergeCell ref="F203:G203"/>
    <mergeCell ref="F204:G204"/>
    <mergeCell ref="F221:G221"/>
    <mergeCell ref="F220:G220"/>
    <mergeCell ref="F219:G219"/>
    <mergeCell ref="F218:G218"/>
    <mergeCell ref="F217:G217"/>
    <mergeCell ref="F216:G216"/>
    <mergeCell ref="F215:G215"/>
    <mergeCell ref="F214:G214"/>
    <mergeCell ref="F213:G213"/>
    <mergeCell ref="D232:E232"/>
    <mergeCell ref="F232:G232"/>
    <mergeCell ref="B233:C234"/>
    <mergeCell ref="D233:E233"/>
    <mergeCell ref="F233:G233"/>
    <mergeCell ref="H233:H234"/>
    <mergeCell ref="D234:E234"/>
    <mergeCell ref="F234:G234"/>
    <mergeCell ref="F201:G201"/>
    <mergeCell ref="F202:G202"/>
    <mergeCell ref="F200:G200"/>
    <mergeCell ref="F199:G199"/>
    <mergeCell ref="F197:G197"/>
    <mergeCell ref="F195:G195"/>
    <mergeCell ref="F196:G196"/>
    <mergeCell ref="F194:G194"/>
    <mergeCell ref="F230:G230"/>
    <mergeCell ref="F229:G229"/>
    <mergeCell ref="F228:G228"/>
    <mergeCell ref="F227:G227"/>
    <mergeCell ref="F226:G226"/>
    <mergeCell ref="F225:G225"/>
    <mergeCell ref="F224:G224"/>
    <mergeCell ref="F223:G223"/>
    <mergeCell ref="F222:G222"/>
    <mergeCell ref="B213:C213"/>
    <mergeCell ref="B203:C203"/>
    <mergeCell ref="B202:C202"/>
    <mergeCell ref="B201:C201"/>
    <mergeCell ref="B230:C230"/>
    <mergeCell ref="B229:C229"/>
    <mergeCell ref="F211:G211"/>
    <mergeCell ref="D238:E238"/>
    <mergeCell ref="F238:G238"/>
    <mergeCell ref="B239:C239"/>
    <mergeCell ref="D239:E239"/>
    <mergeCell ref="F239:G239"/>
    <mergeCell ref="B240:C240"/>
    <mergeCell ref="D240:E240"/>
    <mergeCell ref="F240:G240"/>
    <mergeCell ref="B235:C235"/>
    <mergeCell ref="D235:E235"/>
    <mergeCell ref="F235:G235"/>
    <mergeCell ref="B236:C236"/>
    <mergeCell ref="D236:E236"/>
    <mergeCell ref="F236:G236"/>
    <mergeCell ref="B237:C237"/>
    <mergeCell ref="D237:E237"/>
    <mergeCell ref="F237:G237"/>
    <mergeCell ref="D244:E244"/>
    <mergeCell ref="F244:G244"/>
    <mergeCell ref="B245:C245"/>
    <mergeCell ref="D245:E245"/>
    <mergeCell ref="F245:G245"/>
    <mergeCell ref="B246:C246"/>
    <mergeCell ref="D246:E246"/>
    <mergeCell ref="F246:G246"/>
    <mergeCell ref="B241:C241"/>
    <mergeCell ref="D241:E241"/>
    <mergeCell ref="F241:G241"/>
    <mergeCell ref="B242:C242"/>
    <mergeCell ref="D242:E242"/>
    <mergeCell ref="F242:G242"/>
    <mergeCell ref="B243:C243"/>
    <mergeCell ref="D243:E243"/>
    <mergeCell ref="F243:G243"/>
    <mergeCell ref="D250:E250"/>
    <mergeCell ref="F250:G250"/>
    <mergeCell ref="B251:C251"/>
    <mergeCell ref="D251:E251"/>
    <mergeCell ref="F251:G251"/>
    <mergeCell ref="B252:C252"/>
    <mergeCell ref="D252:E252"/>
    <mergeCell ref="F252:G252"/>
    <mergeCell ref="B247:C247"/>
    <mergeCell ref="D247:E247"/>
    <mergeCell ref="F247:G247"/>
    <mergeCell ref="B248:C248"/>
    <mergeCell ref="D248:E248"/>
    <mergeCell ref="F248:G248"/>
    <mergeCell ref="B249:C249"/>
    <mergeCell ref="D249:E249"/>
    <mergeCell ref="F249:G249"/>
    <mergeCell ref="D256:E256"/>
    <mergeCell ref="F256:G256"/>
    <mergeCell ref="B257:C257"/>
    <mergeCell ref="D257:E257"/>
    <mergeCell ref="F257:G257"/>
    <mergeCell ref="B258:C258"/>
    <mergeCell ref="D258:E258"/>
    <mergeCell ref="F258:G258"/>
    <mergeCell ref="B253:C253"/>
    <mergeCell ref="D253:E253"/>
    <mergeCell ref="F253:G253"/>
    <mergeCell ref="B254:C254"/>
    <mergeCell ref="D254:E254"/>
    <mergeCell ref="F254:G254"/>
    <mergeCell ref="B255:C255"/>
    <mergeCell ref="D255:E255"/>
    <mergeCell ref="F255:G255"/>
    <mergeCell ref="D262:E262"/>
    <mergeCell ref="F262:G262"/>
    <mergeCell ref="B263:C263"/>
    <mergeCell ref="D263:E263"/>
    <mergeCell ref="F263:G263"/>
    <mergeCell ref="B264:C264"/>
    <mergeCell ref="D264:E264"/>
    <mergeCell ref="F264:G264"/>
    <mergeCell ref="B259:C259"/>
    <mergeCell ref="D259:E259"/>
    <mergeCell ref="F259:G259"/>
    <mergeCell ref="B260:C260"/>
    <mergeCell ref="D260:E260"/>
    <mergeCell ref="F260:G260"/>
    <mergeCell ref="B261:C261"/>
    <mergeCell ref="D261:E261"/>
    <mergeCell ref="F261:G261"/>
    <mergeCell ref="D268:E268"/>
    <mergeCell ref="F268:G268"/>
    <mergeCell ref="B269:C269"/>
    <mergeCell ref="D269:E269"/>
    <mergeCell ref="F269:G269"/>
    <mergeCell ref="B270:C270"/>
    <mergeCell ref="D270:E270"/>
    <mergeCell ref="F270:G270"/>
    <mergeCell ref="B265:C265"/>
    <mergeCell ref="D265:E265"/>
    <mergeCell ref="F265:G265"/>
    <mergeCell ref="B266:C266"/>
    <mergeCell ref="D266:E266"/>
    <mergeCell ref="F266:G266"/>
    <mergeCell ref="B267:C267"/>
    <mergeCell ref="D267:E267"/>
    <mergeCell ref="F267:G267"/>
    <mergeCell ref="D274:E274"/>
    <mergeCell ref="F274:G274"/>
    <mergeCell ref="B275:C275"/>
    <mergeCell ref="D275:E275"/>
    <mergeCell ref="F275:G275"/>
    <mergeCell ref="B276:C276"/>
    <mergeCell ref="D276:E276"/>
    <mergeCell ref="F276:G276"/>
    <mergeCell ref="B271:C271"/>
    <mergeCell ref="D271:E271"/>
    <mergeCell ref="F271:G271"/>
    <mergeCell ref="B272:C272"/>
    <mergeCell ref="D272:E272"/>
    <mergeCell ref="F272:G272"/>
    <mergeCell ref="B273:C273"/>
    <mergeCell ref="D273:E273"/>
    <mergeCell ref="F273:G273"/>
    <mergeCell ref="D280:E280"/>
    <mergeCell ref="F280:G280"/>
    <mergeCell ref="B281:C281"/>
    <mergeCell ref="D281:E281"/>
    <mergeCell ref="F281:G281"/>
    <mergeCell ref="B282:C282"/>
    <mergeCell ref="D282:E282"/>
    <mergeCell ref="F282:G282"/>
    <mergeCell ref="B277:C277"/>
    <mergeCell ref="D277:E277"/>
    <mergeCell ref="F277:G277"/>
    <mergeCell ref="B278:C278"/>
    <mergeCell ref="D278:E278"/>
    <mergeCell ref="F278:G278"/>
    <mergeCell ref="B279:C279"/>
    <mergeCell ref="D279:E279"/>
    <mergeCell ref="F279:G279"/>
    <mergeCell ref="D292:E292"/>
    <mergeCell ref="F292:G292"/>
    <mergeCell ref="B293:C293"/>
    <mergeCell ref="D293:E293"/>
    <mergeCell ref="F293:G293"/>
    <mergeCell ref="B294:C294"/>
    <mergeCell ref="D294:E294"/>
    <mergeCell ref="F294:G294"/>
    <mergeCell ref="B288:C288"/>
    <mergeCell ref="D288:E288"/>
    <mergeCell ref="F288:G288"/>
    <mergeCell ref="B289:C290"/>
    <mergeCell ref="D289:E289"/>
    <mergeCell ref="F289:G289"/>
    <mergeCell ref="D290:E290"/>
    <mergeCell ref="F290:G290"/>
    <mergeCell ref="B291:C291"/>
    <mergeCell ref="D291:E291"/>
    <mergeCell ref="F291:G291"/>
    <mergeCell ref="D298:E298"/>
    <mergeCell ref="F298:G298"/>
    <mergeCell ref="B299:C299"/>
    <mergeCell ref="D299:E299"/>
    <mergeCell ref="F299:G299"/>
    <mergeCell ref="B300:C300"/>
    <mergeCell ref="D300:E300"/>
    <mergeCell ref="F300:G300"/>
    <mergeCell ref="B295:C295"/>
    <mergeCell ref="D295:E295"/>
    <mergeCell ref="F295:G295"/>
    <mergeCell ref="B296:C296"/>
    <mergeCell ref="D296:E296"/>
    <mergeCell ref="F296:G296"/>
    <mergeCell ref="B297:C297"/>
    <mergeCell ref="D297:E297"/>
    <mergeCell ref="F297:G297"/>
    <mergeCell ref="D304:E304"/>
    <mergeCell ref="F304:G304"/>
    <mergeCell ref="B305:C305"/>
    <mergeCell ref="D305:E305"/>
    <mergeCell ref="F305:G305"/>
    <mergeCell ref="B306:C306"/>
    <mergeCell ref="D306:E306"/>
    <mergeCell ref="F306:G306"/>
    <mergeCell ref="B301:C301"/>
    <mergeCell ref="D301:E301"/>
    <mergeCell ref="F301:G301"/>
    <mergeCell ref="B302:C302"/>
    <mergeCell ref="D302:E302"/>
    <mergeCell ref="F302:G302"/>
    <mergeCell ref="B303:C303"/>
    <mergeCell ref="D303:E303"/>
    <mergeCell ref="F303:G303"/>
    <mergeCell ref="D310:E310"/>
    <mergeCell ref="F310:G310"/>
    <mergeCell ref="B311:C311"/>
    <mergeCell ref="D311:E311"/>
    <mergeCell ref="F311:G311"/>
    <mergeCell ref="B312:C312"/>
    <mergeCell ref="D312:E312"/>
    <mergeCell ref="F312:G312"/>
    <mergeCell ref="B307:C307"/>
    <mergeCell ref="D307:E307"/>
    <mergeCell ref="F307:G307"/>
    <mergeCell ref="B308:C308"/>
    <mergeCell ref="D308:E308"/>
    <mergeCell ref="F308:G308"/>
    <mergeCell ref="B309:C309"/>
    <mergeCell ref="D309:E309"/>
    <mergeCell ref="F309:G309"/>
    <mergeCell ref="D316:E316"/>
    <mergeCell ref="F316:G316"/>
    <mergeCell ref="B317:C317"/>
    <mergeCell ref="D317:E317"/>
    <mergeCell ref="F317:G317"/>
    <mergeCell ref="B318:C318"/>
    <mergeCell ref="D318:E318"/>
    <mergeCell ref="F318:G318"/>
    <mergeCell ref="B313:C313"/>
    <mergeCell ref="D313:E313"/>
    <mergeCell ref="F313:G313"/>
    <mergeCell ref="B314:C314"/>
    <mergeCell ref="D314:E314"/>
    <mergeCell ref="F314:G314"/>
    <mergeCell ref="B315:C315"/>
    <mergeCell ref="D315:E315"/>
    <mergeCell ref="F315:G315"/>
    <mergeCell ref="B322:C322"/>
    <mergeCell ref="D322:E322"/>
    <mergeCell ref="F322:G322"/>
    <mergeCell ref="B323:C323"/>
    <mergeCell ref="D323:E323"/>
    <mergeCell ref="F323:G323"/>
    <mergeCell ref="B324:C324"/>
    <mergeCell ref="D324:E324"/>
    <mergeCell ref="F324:G324"/>
    <mergeCell ref="B319:C319"/>
    <mergeCell ref="D319:E319"/>
    <mergeCell ref="F319:G319"/>
    <mergeCell ref="B320:C320"/>
    <mergeCell ref="D320:E320"/>
    <mergeCell ref="F320:G320"/>
    <mergeCell ref="B321:C321"/>
    <mergeCell ref="D321:E321"/>
    <mergeCell ref="F321:G321"/>
    <mergeCell ref="B328:C328"/>
    <mergeCell ref="D328:E328"/>
    <mergeCell ref="F328:G328"/>
    <mergeCell ref="B330:C330"/>
    <mergeCell ref="B331:C332"/>
    <mergeCell ref="D330:E330"/>
    <mergeCell ref="F330:G330"/>
    <mergeCell ref="D331:E331"/>
    <mergeCell ref="F331:G331"/>
    <mergeCell ref="D332:E332"/>
    <mergeCell ref="F332:G332"/>
    <mergeCell ref="B325:C325"/>
    <mergeCell ref="D325:E325"/>
    <mergeCell ref="F325:G325"/>
    <mergeCell ref="B326:C326"/>
    <mergeCell ref="D326:E326"/>
    <mergeCell ref="F326:G326"/>
    <mergeCell ref="B327:C327"/>
    <mergeCell ref="D327:E327"/>
    <mergeCell ref="F327:G327"/>
    <mergeCell ref="B336:C336"/>
    <mergeCell ref="D336:E336"/>
    <mergeCell ref="F336:G336"/>
    <mergeCell ref="B337:C337"/>
    <mergeCell ref="D337:E337"/>
    <mergeCell ref="F337:G337"/>
    <mergeCell ref="B338:C338"/>
    <mergeCell ref="D338:E338"/>
    <mergeCell ref="F338:G338"/>
    <mergeCell ref="B333:C333"/>
    <mergeCell ref="D333:E333"/>
    <mergeCell ref="F333:G333"/>
    <mergeCell ref="B334:C334"/>
    <mergeCell ref="D334:E334"/>
    <mergeCell ref="F334:G334"/>
    <mergeCell ref="B335:C335"/>
    <mergeCell ref="D335:E335"/>
    <mergeCell ref="F335:G335"/>
    <mergeCell ref="B342:C342"/>
    <mergeCell ref="D342:E342"/>
    <mergeCell ref="F342:G342"/>
    <mergeCell ref="B343:C343"/>
    <mergeCell ref="D343:E343"/>
    <mergeCell ref="F343:G343"/>
    <mergeCell ref="B344:C344"/>
    <mergeCell ref="D344:E344"/>
    <mergeCell ref="F344:G344"/>
    <mergeCell ref="B339:C339"/>
    <mergeCell ref="D339:E339"/>
    <mergeCell ref="F339:G339"/>
    <mergeCell ref="B340:C340"/>
    <mergeCell ref="D340:E340"/>
    <mergeCell ref="F340:G340"/>
    <mergeCell ref="B341:C341"/>
    <mergeCell ref="D341:E341"/>
    <mergeCell ref="F341:G341"/>
    <mergeCell ref="B348:C348"/>
    <mergeCell ref="D348:E348"/>
    <mergeCell ref="F348:G348"/>
    <mergeCell ref="B349:C349"/>
    <mergeCell ref="D349:E349"/>
    <mergeCell ref="F349:G349"/>
    <mergeCell ref="B350:C350"/>
    <mergeCell ref="D350:E350"/>
    <mergeCell ref="F350:G350"/>
    <mergeCell ref="B345:C345"/>
    <mergeCell ref="D345:E345"/>
    <mergeCell ref="F345:G345"/>
    <mergeCell ref="B346:C346"/>
    <mergeCell ref="D346:E346"/>
    <mergeCell ref="F346:G346"/>
    <mergeCell ref="B347:C347"/>
    <mergeCell ref="D347:E347"/>
    <mergeCell ref="F347:G347"/>
    <mergeCell ref="B354:C354"/>
    <mergeCell ref="D354:E354"/>
    <mergeCell ref="F354:G354"/>
    <mergeCell ref="B355:C355"/>
    <mergeCell ref="D355:E355"/>
    <mergeCell ref="F355:G355"/>
    <mergeCell ref="B356:C356"/>
    <mergeCell ref="D356:E356"/>
    <mergeCell ref="F356:G356"/>
    <mergeCell ref="B351:C351"/>
    <mergeCell ref="D351:E351"/>
    <mergeCell ref="F351:G351"/>
    <mergeCell ref="B352:C352"/>
    <mergeCell ref="D352:E352"/>
    <mergeCell ref="F352:G352"/>
    <mergeCell ref="B353:C353"/>
    <mergeCell ref="D353:E353"/>
    <mergeCell ref="F353:G353"/>
    <mergeCell ref="B360:C360"/>
    <mergeCell ref="D360:E360"/>
    <mergeCell ref="F360:G360"/>
    <mergeCell ref="B361:C361"/>
    <mergeCell ref="D361:E361"/>
    <mergeCell ref="F361:G361"/>
    <mergeCell ref="B362:C362"/>
    <mergeCell ref="D362:E362"/>
    <mergeCell ref="F362:G362"/>
    <mergeCell ref="B357:C357"/>
    <mergeCell ref="D357:E357"/>
    <mergeCell ref="F357:G357"/>
    <mergeCell ref="B358:C358"/>
    <mergeCell ref="D358:E358"/>
    <mergeCell ref="F358:G358"/>
    <mergeCell ref="B359:C359"/>
    <mergeCell ref="D359:E359"/>
    <mergeCell ref="F359:G359"/>
    <mergeCell ref="B366:C366"/>
    <mergeCell ref="D366:E366"/>
    <mergeCell ref="F366:G366"/>
    <mergeCell ref="B367:C367"/>
    <mergeCell ref="D367:E367"/>
    <mergeCell ref="F367:G367"/>
    <mergeCell ref="B368:C368"/>
    <mergeCell ref="D368:E368"/>
    <mergeCell ref="F368:G368"/>
    <mergeCell ref="B363:C363"/>
    <mergeCell ref="D363:E363"/>
    <mergeCell ref="F363:G363"/>
    <mergeCell ref="B364:C364"/>
    <mergeCell ref="D364:E364"/>
    <mergeCell ref="F364:G364"/>
    <mergeCell ref="B365:C365"/>
    <mergeCell ref="D365:E365"/>
    <mergeCell ref="F365:G365"/>
    <mergeCell ref="B372:C372"/>
    <mergeCell ref="D372:E372"/>
    <mergeCell ref="F372:G372"/>
    <mergeCell ref="B373:C373"/>
    <mergeCell ref="D373:E373"/>
    <mergeCell ref="F373:G373"/>
    <mergeCell ref="B374:C374"/>
    <mergeCell ref="D374:E374"/>
    <mergeCell ref="F374:G374"/>
    <mergeCell ref="B369:C369"/>
    <mergeCell ref="D369:E369"/>
    <mergeCell ref="F369:G369"/>
    <mergeCell ref="B370:C370"/>
    <mergeCell ref="D370:E370"/>
    <mergeCell ref="F370:G370"/>
    <mergeCell ref="B371:C371"/>
    <mergeCell ref="D371:E371"/>
    <mergeCell ref="F371:G371"/>
    <mergeCell ref="B378:C378"/>
    <mergeCell ref="D378:E378"/>
    <mergeCell ref="F378:G378"/>
    <mergeCell ref="B379:C379"/>
    <mergeCell ref="D379:E379"/>
    <mergeCell ref="F379:G379"/>
    <mergeCell ref="B380:C380"/>
    <mergeCell ref="D380:E380"/>
    <mergeCell ref="F380:G380"/>
    <mergeCell ref="B375:C375"/>
    <mergeCell ref="D375:E375"/>
    <mergeCell ref="F375:G375"/>
    <mergeCell ref="B376:C376"/>
    <mergeCell ref="D376:E376"/>
    <mergeCell ref="F376:G376"/>
    <mergeCell ref="B377:C377"/>
    <mergeCell ref="D377:E377"/>
    <mergeCell ref="F377:G377"/>
    <mergeCell ref="G406:H406"/>
    <mergeCell ref="B388:C388"/>
    <mergeCell ref="B386:C386"/>
    <mergeCell ref="B387:C387"/>
    <mergeCell ref="B391:C391"/>
    <mergeCell ref="B392:C400"/>
    <mergeCell ref="D394:F394"/>
    <mergeCell ref="D393:F393"/>
    <mergeCell ref="D392:F392"/>
    <mergeCell ref="D391:F391"/>
    <mergeCell ref="D400:F400"/>
    <mergeCell ref="D399:F399"/>
    <mergeCell ref="D398:F398"/>
    <mergeCell ref="D397:F397"/>
    <mergeCell ref="D396:F396"/>
    <mergeCell ref="D395:F395"/>
    <mergeCell ref="G390:J390"/>
    <mergeCell ref="B401:C406"/>
    <mergeCell ref="G410:H410"/>
    <mergeCell ref="G411:H411"/>
    <mergeCell ref="G412:H412"/>
    <mergeCell ref="G413:H413"/>
    <mergeCell ref="G391:H391"/>
    <mergeCell ref="G403:H403"/>
    <mergeCell ref="I391:J391"/>
    <mergeCell ref="I392:J392"/>
    <mergeCell ref="I393:J393"/>
    <mergeCell ref="I394:J394"/>
    <mergeCell ref="I395:J395"/>
    <mergeCell ref="I396:J396"/>
    <mergeCell ref="I397:J397"/>
    <mergeCell ref="I398:J398"/>
    <mergeCell ref="I399:J399"/>
    <mergeCell ref="I400:J400"/>
    <mergeCell ref="I401:J401"/>
    <mergeCell ref="I402:J402"/>
    <mergeCell ref="I403:J403"/>
    <mergeCell ref="G392:H392"/>
    <mergeCell ref="G393:H393"/>
    <mergeCell ref="G394:H394"/>
    <mergeCell ref="G395:H395"/>
    <mergeCell ref="G396:H396"/>
    <mergeCell ref="G397:H397"/>
    <mergeCell ref="G398:H398"/>
    <mergeCell ref="G399:H399"/>
    <mergeCell ref="G400:H400"/>
    <mergeCell ref="G401:H401"/>
    <mergeCell ref="G402:H402"/>
    <mergeCell ref="G404:H404"/>
    <mergeCell ref="G405:H405"/>
    <mergeCell ref="B424:C424"/>
    <mergeCell ref="D424:E424"/>
    <mergeCell ref="B425:C425"/>
    <mergeCell ref="D425:E425"/>
    <mergeCell ref="B426:C426"/>
    <mergeCell ref="D426:E426"/>
    <mergeCell ref="B427:C427"/>
    <mergeCell ref="D427:E427"/>
    <mergeCell ref="B428:C428"/>
    <mergeCell ref="D428:E428"/>
    <mergeCell ref="I413:J413"/>
    <mergeCell ref="I412:J412"/>
    <mergeCell ref="B419:C419"/>
    <mergeCell ref="B420:C420"/>
    <mergeCell ref="B421:C421"/>
    <mergeCell ref="I404:J404"/>
    <mergeCell ref="I405:J405"/>
    <mergeCell ref="I406:J406"/>
    <mergeCell ref="I407:J407"/>
    <mergeCell ref="I408:J408"/>
    <mergeCell ref="I409:J409"/>
    <mergeCell ref="I410:J410"/>
    <mergeCell ref="I411:J411"/>
    <mergeCell ref="D410:F410"/>
    <mergeCell ref="D409:F409"/>
    <mergeCell ref="D408:F408"/>
    <mergeCell ref="D407:F407"/>
    <mergeCell ref="D406:F406"/>
    <mergeCell ref="D405:F405"/>
    <mergeCell ref="G407:H407"/>
    <mergeCell ref="G408:H408"/>
    <mergeCell ref="G409:H409"/>
    <mergeCell ref="B434:C434"/>
    <mergeCell ref="D434:E434"/>
    <mergeCell ref="B435:C435"/>
    <mergeCell ref="D435:E435"/>
    <mergeCell ref="B436:C436"/>
    <mergeCell ref="D436:E436"/>
    <mergeCell ref="B437:C437"/>
    <mergeCell ref="D437:E437"/>
    <mergeCell ref="B429:C429"/>
    <mergeCell ref="D429:E429"/>
    <mergeCell ref="B430:C430"/>
    <mergeCell ref="D430:E430"/>
    <mergeCell ref="B431:C431"/>
    <mergeCell ref="D431:E431"/>
    <mergeCell ref="B432:C432"/>
    <mergeCell ref="D432:E432"/>
    <mergeCell ref="B433:C433"/>
    <mergeCell ref="D433:E433"/>
    <mergeCell ref="B441:C441"/>
    <mergeCell ref="C454:D454"/>
    <mergeCell ref="C453:D453"/>
    <mergeCell ref="C452:D452"/>
    <mergeCell ref="C451:D451"/>
    <mergeCell ref="C450:D450"/>
    <mergeCell ref="C449:D449"/>
    <mergeCell ref="C447:D448"/>
    <mergeCell ref="D423:G423"/>
    <mergeCell ref="B439:C439"/>
    <mergeCell ref="D439:E439"/>
    <mergeCell ref="B440:C440"/>
    <mergeCell ref="D440:E440"/>
    <mergeCell ref="B438:C438"/>
    <mergeCell ref="D438:E438"/>
    <mergeCell ref="F424:G424"/>
    <mergeCell ref="F425:G425"/>
    <mergeCell ref="F426:G426"/>
    <mergeCell ref="F427:G427"/>
    <mergeCell ref="F428:G428"/>
    <mergeCell ref="F429:G429"/>
    <mergeCell ref="F430:G430"/>
    <mergeCell ref="F431:G431"/>
    <mergeCell ref="F432:G432"/>
    <mergeCell ref="F433:G433"/>
    <mergeCell ref="F434:G434"/>
    <mergeCell ref="F435:G435"/>
    <mergeCell ref="F436:G436"/>
    <mergeCell ref="F437:G437"/>
    <mergeCell ref="F438:G438"/>
    <mergeCell ref="F439:G439"/>
    <mergeCell ref="F440:G440"/>
    <mergeCell ref="C487:D487"/>
    <mergeCell ref="C486:D486"/>
    <mergeCell ref="C485:D485"/>
    <mergeCell ref="C484:D484"/>
    <mergeCell ref="C483:D483"/>
    <mergeCell ref="C482:D482"/>
    <mergeCell ref="C481:D481"/>
    <mergeCell ref="C480:D480"/>
    <mergeCell ref="C479:D479"/>
    <mergeCell ref="C456:D456"/>
    <mergeCell ref="C455:D455"/>
    <mergeCell ref="C473:D473"/>
    <mergeCell ref="C472:D472"/>
    <mergeCell ref="C471:D471"/>
    <mergeCell ref="C470:D470"/>
    <mergeCell ref="C469:D469"/>
    <mergeCell ref="C468:D468"/>
    <mergeCell ref="C467:D467"/>
    <mergeCell ref="C466:D466"/>
    <mergeCell ref="C465:D465"/>
    <mergeCell ref="C464:D464"/>
    <mergeCell ref="C463:D463"/>
    <mergeCell ref="C462:D462"/>
    <mergeCell ref="C461:D461"/>
    <mergeCell ref="C460:D460"/>
    <mergeCell ref="C458:D458"/>
    <mergeCell ref="C459:D459"/>
    <mergeCell ref="C457:D457"/>
    <mergeCell ref="C478:D478"/>
    <mergeCell ref="C477:D477"/>
    <mergeCell ref="C476:D476"/>
    <mergeCell ref="C475:D475"/>
    <mergeCell ref="C474:D474"/>
    <mergeCell ref="G455:H455"/>
    <mergeCell ref="G454:H454"/>
    <mergeCell ref="G453:H453"/>
    <mergeCell ref="G452:H452"/>
    <mergeCell ref="G471:H471"/>
    <mergeCell ref="G470:H470"/>
    <mergeCell ref="G469:H469"/>
    <mergeCell ref="G468:H468"/>
    <mergeCell ref="G467:H467"/>
    <mergeCell ref="G466:H466"/>
    <mergeCell ref="G465:H465"/>
    <mergeCell ref="G464:H464"/>
    <mergeCell ref="G463:H463"/>
    <mergeCell ref="G462:H462"/>
    <mergeCell ref="G461:H461"/>
    <mergeCell ref="G460:H460"/>
    <mergeCell ref="G459:H459"/>
    <mergeCell ref="G458:H458"/>
    <mergeCell ref="G457:H457"/>
    <mergeCell ref="G486:H486"/>
    <mergeCell ref="I450:J450"/>
    <mergeCell ref="I449:J449"/>
    <mergeCell ref="I447:J448"/>
    <mergeCell ref="I465:J465"/>
    <mergeCell ref="I464:J464"/>
    <mergeCell ref="I463:J463"/>
    <mergeCell ref="I462:J462"/>
    <mergeCell ref="I461:J461"/>
    <mergeCell ref="I460:J460"/>
    <mergeCell ref="I459:J459"/>
    <mergeCell ref="I458:J458"/>
    <mergeCell ref="I457:J457"/>
    <mergeCell ref="I456:J456"/>
    <mergeCell ref="I455:J455"/>
    <mergeCell ref="I454:J454"/>
    <mergeCell ref="I453:J453"/>
    <mergeCell ref="I452:J452"/>
    <mergeCell ref="I451:J451"/>
    <mergeCell ref="I479:J479"/>
    <mergeCell ref="I478:J478"/>
    <mergeCell ref="G482:H482"/>
    <mergeCell ref="G481:H481"/>
    <mergeCell ref="G480:H480"/>
    <mergeCell ref="G479:H479"/>
    <mergeCell ref="G478:H478"/>
    <mergeCell ref="G476:H476"/>
    <mergeCell ref="G477:H477"/>
    <mergeCell ref="G475:H475"/>
    <mergeCell ref="G474:H474"/>
    <mergeCell ref="B446:V446"/>
    <mergeCell ref="K448:L448"/>
    <mergeCell ref="Q448:R448"/>
    <mergeCell ref="O448:P448"/>
    <mergeCell ref="M448:N448"/>
    <mergeCell ref="U448:V448"/>
    <mergeCell ref="S448:T448"/>
    <mergeCell ref="B447:B448"/>
    <mergeCell ref="B493:B494"/>
    <mergeCell ref="C493:D494"/>
    <mergeCell ref="C495:D495"/>
    <mergeCell ref="I468:J468"/>
    <mergeCell ref="I467:J467"/>
    <mergeCell ref="I466:J466"/>
    <mergeCell ref="I485:J485"/>
    <mergeCell ref="I484:J484"/>
    <mergeCell ref="I483:J483"/>
    <mergeCell ref="I482:J482"/>
    <mergeCell ref="I481:J481"/>
    <mergeCell ref="I480:J480"/>
    <mergeCell ref="I477:J477"/>
    <mergeCell ref="I476:J476"/>
    <mergeCell ref="I475:J475"/>
    <mergeCell ref="I474:J474"/>
    <mergeCell ref="I473:J473"/>
    <mergeCell ref="I472:J472"/>
    <mergeCell ref="I471:J471"/>
    <mergeCell ref="I470:J470"/>
    <mergeCell ref="I469:J469"/>
    <mergeCell ref="G473:H473"/>
    <mergeCell ref="G472:H472"/>
    <mergeCell ref="G487:H487"/>
    <mergeCell ref="C498:D498"/>
    <mergeCell ref="G498:H498"/>
    <mergeCell ref="I498:J498"/>
    <mergeCell ref="C499:D499"/>
    <mergeCell ref="G499:H499"/>
    <mergeCell ref="I499:J499"/>
    <mergeCell ref="C500:D500"/>
    <mergeCell ref="G500:H500"/>
    <mergeCell ref="I500:J500"/>
    <mergeCell ref="C496:D496"/>
    <mergeCell ref="B492:V492"/>
    <mergeCell ref="G493:H494"/>
    <mergeCell ref="I493:J494"/>
    <mergeCell ref="G496:H496"/>
    <mergeCell ref="I496:J496"/>
    <mergeCell ref="C497:D497"/>
    <mergeCell ref="G497:H497"/>
    <mergeCell ref="I497:J497"/>
    <mergeCell ref="G495:H495"/>
    <mergeCell ref="I495:J495"/>
    <mergeCell ref="C504:D504"/>
    <mergeCell ref="G504:H504"/>
    <mergeCell ref="I504:J504"/>
    <mergeCell ref="C505:D505"/>
    <mergeCell ref="G505:H505"/>
    <mergeCell ref="I505:J505"/>
    <mergeCell ref="C506:D506"/>
    <mergeCell ref="G506:H506"/>
    <mergeCell ref="I506:J506"/>
    <mergeCell ref="C501:D501"/>
    <mergeCell ref="G501:H501"/>
    <mergeCell ref="I501:J501"/>
    <mergeCell ref="C502:D502"/>
    <mergeCell ref="G502:H502"/>
    <mergeCell ref="I502:J502"/>
    <mergeCell ref="C503:D503"/>
    <mergeCell ref="G503:H503"/>
    <mergeCell ref="I503:J503"/>
    <mergeCell ref="C510:D510"/>
    <mergeCell ref="G510:H510"/>
    <mergeCell ref="I510:J510"/>
    <mergeCell ref="C511:D511"/>
    <mergeCell ref="G511:H511"/>
    <mergeCell ref="I511:J511"/>
    <mergeCell ref="C512:D512"/>
    <mergeCell ref="G512:H512"/>
    <mergeCell ref="I512:J512"/>
    <mergeCell ref="C507:D507"/>
    <mergeCell ref="G507:H507"/>
    <mergeCell ref="I507:J507"/>
    <mergeCell ref="C508:D508"/>
    <mergeCell ref="G508:H508"/>
    <mergeCell ref="I508:J508"/>
    <mergeCell ref="C509:D509"/>
    <mergeCell ref="G509:H509"/>
    <mergeCell ref="I509:J509"/>
    <mergeCell ref="C516:D516"/>
    <mergeCell ref="G516:H516"/>
    <mergeCell ref="I516:J516"/>
    <mergeCell ref="C517:D517"/>
    <mergeCell ref="G517:H517"/>
    <mergeCell ref="I517:J517"/>
    <mergeCell ref="C518:D518"/>
    <mergeCell ref="G518:H518"/>
    <mergeCell ref="I518:J518"/>
    <mergeCell ref="C513:D513"/>
    <mergeCell ref="G513:H513"/>
    <mergeCell ref="I513:J513"/>
    <mergeCell ref="C514:D514"/>
    <mergeCell ref="G514:H514"/>
    <mergeCell ref="I514:J514"/>
    <mergeCell ref="C515:D515"/>
    <mergeCell ref="G515:H515"/>
    <mergeCell ref="I515:J515"/>
    <mergeCell ref="C522:D522"/>
    <mergeCell ref="G522:H522"/>
    <mergeCell ref="I522:J522"/>
    <mergeCell ref="C523:D523"/>
    <mergeCell ref="G523:H523"/>
    <mergeCell ref="I523:J523"/>
    <mergeCell ref="C524:D524"/>
    <mergeCell ref="G524:H524"/>
    <mergeCell ref="I524:J524"/>
    <mergeCell ref="C519:D519"/>
    <mergeCell ref="G519:H519"/>
    <mergeCell ref="I519:J519"/>
    <mergeCell ref="C520:D520"/>
    <mergeCell ref="G520:H520"/>
    <mergeCell ref="I520:J520"/>
    <mergeCell ref="C521:D521"/>
    <mergeCell ref="G521:H521"/>
    <mergeCell ref="I521:J521"/>
    <mergeCell ref="C528:D528"/>
    <mergeCell ref="G528:H528"/>
    <mergeCell ref="I528:J528"/>
    <mergeCell ref="C529:D529"/>
    <mergeCell ref="G529:H529"/>
    <mergeCell ref="I529:J529"/>
    <mergeCell ref="C530:D530"/>
    <mergeCell ref="G530:H530"/>
    <mergeCell ref="I530:J530"/>
    <mergeCell ref="C525:D525"/>
    <mergeCell ref="G525:H525"/>
    <mergeCell ref="I525:J525"/>
    <mergeCell ref="C526:D526"/>
    <mergeCell ref="G526:H526"/>
    <mergeCell ref="I526:J526"/>
    <mergeCell ref="C527:D527"/>
    <mergeCell ref="G527:H527"/>
    <mergeCell ref="I527:J527"/>
    <mergeCell ref="C534:D534"/>
    <mergeCell ref="G534:H534"/>
    <mergeCell ref="I534:J534"/>
    <mergeCell ref="C535:D535"/>
    <mergeCell ref="G535:H535"/>
    <mergeCell ref="I535:J535"/>
    <mergeCell ref="C536:D536"/>
    <mergeCell ref="G536:H536"/>
    <mergeCell ref="I536:J536"/>
    <mergeCell ref="C531:D531"/>
    <mergeCell ref="G531:H531"/>
    <mergeCell ref="I531:J531"/>
    <mergeCell ref="C532:D532"/>
    <mergeCell ref="G532:H532"/>
    <mergeCell ref="I532:J532"/>
    <mergeCell ref="C533:D533"/>
    <mergeCell ref="G533:H533"/>
    <mergeCell ref="I533:J533"/>
    <mergeCell ref="C540:D540"/>
    <mergeCell ref="G540:H540"/>
    <mergeCell ref="I540:J540"/>
    <mergeCell ref="C541:D541"/>
    <mergeCell ref="G541:H541"/>
    <mergeCell ref="I541:J541"/>
    <mergeCell ref="C542:D542"/>
    <mergeCell ref="G542:H542"/>
    <mergeCell ref="I542:J542"/>
    <mergeCell ref="C537:D537"/>
    <mergeCell ref="G537:H537"/>
    <mergeCell ref="I537:J537"/>
    <mergeCell ref="C538:D538"/>
    <mergeCell ref="G538:H538"/>
    <mergeCell ref="I538:J538"/>
    <mergeCell ref="C539:D539"/>
    <mergeCell ref="G539:H539"/>
    <mergeCell ref="I539:J539"/>
    <mergeCell ref="C549:D549"/>
    <mergeCell ref="G549:H549"/>
    <mergeCell ref="C550:D550"/>
    <mergeCell ref="G550:H550"/>
    <mergeCell ref="C546:D546"/>
    <mergeCell ref="G546:H546"/>
    <mergeCell ref="I546:J546"/>
    <mergeCell ref="C547:D547"/>
    <mergeCell ref="G547:H547"/>
    <mergeCell ref="I547:J547"/>
    <mergeCell ref="C548:D548"/>
    <mergeCell ref="G548:H548"/>
    <mergeCell ref="I548:J548"/>
    <mergeCell ref="C543:D543"/>
    <mergeCell ref="G543:H543"/>
    <mergeCell ref="I543:J543"/>
    <mergeCell ref="C544:D544"/>
    <mergeCell ref="G544:H544"/>
    <mergeCell ref="I544:J544"/>
    <mergeCell ref="C545:D545"/>
    <mergeCell ref="G545:H545"/>
    <mergeCell ref="I545:J545"/>
    <mergeCell ref="B562:D562"/>
    <mergeCell ref="B561:D561"/>
    <mergeCell ref="B560:D560"/>
    <mergeCell ref="B559:D559"/>
    <mergeCell ref="B580:D580"/>
    <mergeCell ref="B579:D579"/>
    <mergeCell ref="B578:D578"/>
    <mergeCell ref="B577:D577"/>
    <mergeCell ref="B576:D576"/>
    <mergeCell ref="B575:D575"/>
    <mergeCell ref="B574:D574"/>
    <mergeCell ref="B573:D573"/>
    <mergeCell ref="B587:D587"/>
    <mergeCell ref="B586:D586"/>
    <mergeCell ref="B585:D585"/>
    <mergeCell ref="B584:D584"/>
    <mergeCell ref="B583:D583"/>
    <mergeCell ref="B582:D582"/>
    <mergeCell ref="B581:D581"/>
    <mergeCell ref="B572:D572"/>
    <mergeCell ref="B571:D571"/>
    <mergeCell ref="B570:D570"/>
    <mergeCell ref="B569:D569"/>
    <mergeCell ref="B605:D605"/>
    <mergeCell ref="B606:D606"/>
    <mergeCell ref="B607:D607"/>
    <mergeCell ref="B608:D608"/>
    <mergeCell ref="B609:D609"/>
    <mergeCell ref="B610:D610"/>
    <mergeCell ref="B611:D611"/>
    <mergeCell ref="B612:D612"/>
    <mergeCell ref="B613:D613"/>
    <mergeCell ref="B558:G558"/>
    <mergeCell ref="B598:G598"/>
    <mergeCell ref="B599:D599"/>
    <mergeCell ref="B600:D600"/>
    <mergeCell ref="B601:D601"/>
    <mergeCell ref="B602:D602"/>
    <mergeCell ref="B603:D603"/>
    <mergeCell ref="B604:D604"/>
    <mergeCell ref="B596:D596"/>
    <mergeCell ref="B595:D595"/>
    <mergeCell ref="B594:D594"/>
    <mergeCell ref="B593:D593"/>
    <mergeCell ref="B592:D592"/>
    <mergeCell ref="B591:D591"/>
    <mergeCell ref="B590:D590"/>
    <mergeCell ref="B589:D589"/>
    <mergeCell ref="B588:D588"/>
    <mergeCell ref="B568:D568"/>
    <mergeCell ref="B567:D567"/>
    <mergeCell ref="B566:D566"/>
    <mergeCell ref="B565:D565"/>
    <mergeCell ref="B564:D564"/>
    <mergeCell ref="B563:D563"/>
    <mergeCell ref="B623:D623"/>
    <mergeCell ref="B624:D624"/>
    <mergeCell ref="B625:D625"/>
    <mergeCell ref="B626:D626"/>
    <mergeCell ref="B627:D627"/>
    <mergeCell ref="B628:D628"/>
    <mergeCell ref="B629:D629"/>
    <mergeCell ref="B630:D630"/>
    <mergeCell ref="B631:D631"/>
    <mergeCell ref="B614:D614"/>
    <mergeCell ref="B615:D615"/>
    <mergeCell ref="B616:D616"/>
    <mergeCell ref="B617:D617"/>
    <mergeCell ref="B618:D618"/>
    <mergeCell ref="B619:D619"/>
    <mergeCell ref="B620:D620"/>
    <mergeCell ref="B621:D621"/>
    <mergeCell ref="B622:D622"/>
    <mergeCell ref="B641:D641"/>
    <mergeCell ref="B642:D642"/>
    <mergeCell ref="B643:D643"/>
    <mergeCell ref="B644:D644"/>
    <mergeCell ref="B645:D645"/>
    <mergeCell ref="B646:D646"/>
    <mergeCell ref="B647:D647"/>
    <mergeCell ref="B648:D648"/>
    <mergeCell ref="B649:D649"/>
    <mergeCell ref="B632:D632"/>
    <mergeCell ref="B633:D633"/>
    <mergeCell ref="B634:D634"/>
    <mergeCell ref="B635:D635"/>
    <mergeCell ref="B636:D636"/>
    <mergeCell ref="B637:D637"/>
    <mergeCell ref="B638:D638"/>
    <mergeCell ref="B639:D639"/>
    <mergeCell ref="B640:D640"/>
    <mergeCell ref="B650:D650"/>
    <mergeCell ref="B651:D651"/>
    <mergeCell ref="B652:D652"/>
    <mergeCell ref="B653:D653"/>
    <mergeCell ref="B654:C654"/>
    <mergeCell ref="B662:C671"/>
    <mergeCell ref="B661:C661"/>
    <mergeCell ref="D671:E671"/>
    <mergeCell ref="D670:E670"/>
    <mergeCell ref="D669:E669"/>
    <mergeCell ref="D667:E667"/>
    <mergeCell ref="D668:E668"/>
    <mergeCell ref="D666:E666"/>
    <mergeCell ref="D665:E665"/>
    <mergeCell ref="D663:E663"/>
    <mergeCell ref="D662:E662"/>
    <mergeCell ref="D664:E664"/>
    <mergeCell ref="B684:C684"/>
    <mergeCell ref="C701:H701"/>
    <mergeCell ref="I702:J702"/>
    <mergeCell ref="I703:J703"/>
    <mergeCell ref="C702:D702"/>
    <mergeCell ref="E702:F702"/>
    <mergeCell ref="G702:H702"/>
    <mergeCell ref="C703:D703"/>
    <mergeCell ref="E703:F703"/>
    <mergeCell ref="G703:H703"/>
    <mergeCell ref="B673:C673"/>
    <mergeCell ref="B674:C683"/>
    <mergeCell ref="D674:E674"/>
    <mergeCell ref="D675:E675"/>
    <mergeCell ref="D676:E676"/>
    <mergeCell ref="D677:E677"/>
    <mergeCell ref="D678:E678"/>
    <mergeCell ref="D679:E679"/>
    <mergeCell ref="D680:E680"/>
    <mergeCell ref="D681:E681"/>
    <mergeCell ref="D682:E682"/>
    <mergeCell ref="D683:E683"/>
    <mergeCell ref="B701:B702"/>
    <mergeCell ref="C724:H724"/>
    <mergeCell ref="C725:D725"/>
    <mergeCell ref="E725:F725"/>
    <mergeCell ref="G725:H725"/>
    <mergeCell ref="I725:J725"/>
    <mergeCell ref="K725:L725"/>
    <mergeCell ref="C726:D726"/>
    <mergeCell ref="E726:F726"/>
    <mergeCell ref="G726:H726"/>
    <mergeCell ref="I726:J726"/>
    <mergeCell ref="K726:L726"/>
    <mergeCell ref="K702:L702"/>
    <mergeCell ref="K703:L703"/>
    <mergeCell ref="M702:N702"/>
    <mergeCell ref="M703:N703"/>
    <mergeCell ref="I701:N701"/>
    <mergeCell ref="B700:N700"/>
    <mergeCell ref="I724:N724"/>
    <mergeCell ref="B723:N723"/>
    <mergeCell ref="M725:N725"/>
    <mergeCell ref="M726:N726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76200</xdr:rowOff>
              </from>
              <to>
                <xdr:col>3</xdr:col>
                <xdr:colOff>190500</xdr:colOff>
                <xdr:row>4</xdr:row>
                <xdr:rowOff>9525</xdr:rowOff>
              </to>
            </anchor>
          </objectPr>
        </oleObject>
      </mc:Choice>
      <mc:Fallback>
        <oleObject progId="PBrush" shapeId="716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69E5-315B-4C99-A6FD-D1F3B70E2CD0}">
  <dimension ref="A8:CB150"/>
  <sheetViews>
    <sheetView zoomScaleNormal="100" workbookViewId="0"/>
  </sheetViews>
  <sheetFormatPr baseColWidth="10" defaultColWidth="10.7109375" defaultRowHeight="12.75" x14ac:dyDescent="0.2"/>
  <cols>
    <col min="1" max="1" width="4" style="22" customWidth="1"/>
    <col min="2" max="2" width="11.85546875" style="197" customWidth="1"/>
    <col min="3" max="3" width="30.85546875" style="192" customWidth="1"/>
    <col min="4" max="4" width="7.7109375" style="22" bestFit="1" customWidth="1"/>
    <col min="5" max="5" width="6.42578125" style="22" bestFit="1" customWidth="1"/>
    <col min="6" max="6" width="4.85546875" style="22" bestFit="1" customWidth="1"/>
    <col min="7" max="11" width="5.28515625" style="22" bestFit="1" customWidth="1"/>
    <col min="12" max="12" width="4.7109375" style="22" bestFit="1" customWidth="1"/>
    <col min="13" max="14" width="5" style="22" bestFit="1" customWidth="1"/>
    <col min="15" max="15" width="6" style="22" customWidth="1"/>
    <col min="16" max="16" width="6.28515625" style="22" customWidth="1"/>
    <col min="17" max="17" width="6.42578125" style="22" customWidth="1"/>
    <col min="18" max="19" width="6" style="22" customWidth="1"/>
    <col min="20" max="20" width="6.140625" style="22" customWidth="1"/>
    <col min="21" max="21" width="5.85546875" style="22" bestFit="1" customWidth="1"/>
    <col min="22" max="22" width="5.7109375" style="22" bestFit="1" customWidth="1"/>
    <col min="23" max="25" width="5.85546875" style="22" bestFit="1" customWidth="1"/>
    <col min="26" max="26" width="10.7109375" style="22"/>
    <col min="27" max="27" width="12.140625" style="190" bestFit="1" customWidth="1"/>
    <col min="28" max="28" width="44.7109375" style="190" bestFit="1" customWidth="1"/>
    <col min="29" max="29" width="6.42578125" style="190" bestFit="1" customWidth="1"/>
    <col min="30" max="30" width="13.140625" style="190" bestFit="1" customWidth="1"/>
    <col min="31" max="31" width="7.42578125" style="190" bestFit="1" customWidth="1"/>
    <col min="32" max="32" width="14" style="190" bestFit="1" customWidth="1"/>
    <col min="33" max="33" width="26.42578125" style="190" bestFit="1" customWidth="1"/>
    <col min="34" max="34" width="12.7109375" style="190" bestFit="1" customWidth="1"/>
    <col min="35" max="37" width="4.85546875" style="190" bestFit="1" customWidth="1"/>
    <col min="38" max="38" width="5" style="190" bestFit="1" customWidth="1"/>
    <col min="39" max="39" width="4.85546875" style="190" bestFit="1" customWidth="1"/>
    <col min="40" max="42" width="5" style="190" bestFit="1" customWidth="1"/>
    <col min="43" max="44" width="5.85546875" style="190" bestFit="1" customWidth="1"/>
    <col min="45" max="45" width="9.42578125" style="190" customWidth="1"/>
    <col min="46" max="46" width="15.5703125" style="190" customWidth="1"/>
    <col min="47" max="47" width="11.7109375" style="190" bestFit="1" customWidth="1"/>
    <col min="48" max="48" width="0" style="190" hidden="1" customWidth="1"/>
    <col min="49" max="49" width="4.7109375" style="190" bestFit="1" customWidth="1"/>
    <col min="50" max="51" width="5" style="190" bestFit="1" customWidth="1"/>
    <col min="52" max="53" width="11" style="190" bestFit="1" customWidth="1"/>
    <col min="54" max="54" width="12.5703125" style="190" bestFit="1" customWidth="1"/>
    <col min="55" max="57" width="4.85546875" style="190" bestFit="1" customWidth="1"/>
    <col min="58" max="59" width="5.7109375" style="190" bestFit="1" customWidth="1"/>
    <col min="60" max="60" width="10.28515625" style="190" customWidth="1"/>
    <col min="61" max="61" width="16.7109375" style="190" bestFit="1" customWidth="1"/>
    <col min="62" max="62" width="9.28515625" style="190" bestFit="1" customWidth="1"/>
    <col min="63" max="63" width="4.5703125" style="190" bestFit="1" customWidth="1"/>
    <col min="64" max="71" width="4.85546875" style="190" bestFit="1" customWidth="1"/>
    <col min="72" max="73" width="5.7109375" style="190" bestFit="1" customWidth="1"/>
    <col min="74" max="74" width="10" style="190" bestFit="1" customWidth="1"/>
    <col min="75" max="75" width="15.7109375" style="190" bestFit="1" customWidth="1"/>
    <col min="76" max="76" width="12.42578125" style="190" bestFit="1" customWidth="1"/>
    <col min="77" max="78" width="10.7109375" style="22"/>
    <col min="79" max="79" width="17" style="22" customWidth="1"/>
    <col min="80" max="80" width="75.42578125" style="22" customWidth="1"/>
    <col min="81" max="16384" width="10.7109375" style="22"/>
  </cols>
  <sheetData>
    <row r="8" spans="2:79" ht="18" x14ac:dyDescent="0.2">
      <c r="B8" s="198" t="s">
        <v>933</v>
      </c>
    </row>
    <row r="9" spans="2:79" ht="18" x14ac:dyDescent="0.2">
      <c r="B9" s="198"/>
    </row>
    <row r="10" spans="2:79" ht="18" x14ac:dyDescent="0.2">
      <c r="B10" s="198"/>
    </row>
    <row r="11" spans="2:79" x14ac:dyDescent="0.2">
      <c r="B11" s="196" t="s">
        <v>934</v>
      </c>
    </row>
    <row r="12" spans="2:79" ht="13.5" thickBot="1" x14ac:dyDescent="0.25">
      <c r="B12" s="196"/>
    </row>
    <row r="13" spans="2:79" ht="16.5" customHeight="1" thickBot="1" x14ac:dyDescent="0.25">
      <c r="B13" s="199"/>
      <c r="C13" s="193"/>
      <c r="D13" s="34"/>
      <c r="E13" s="34"/>
      <c r="F13" s="999" t="s">
        <v>935</v>
      </c>
      <c r="G13" s="1000"/>
      <c r="H13" s="1000"/>
      <c r="I13" s="1000"/>
      <c r="J13" s="1000"/>
      <c r="K13" s="1000"/>
      <c r="L13" s="999" t="s">
        <v>936</v>
      </c>
      <c r="M13" s="1000"/>
      <c r="N13" s="1000"/>
      <c r="O13" s="1000"/>
      <c r="P13" s="1000"/>
      <c r="Q13" s="1000"/>
      <c r="R13" s="1000"/>
      <c r="S13" s="1000"/>
      <c r="T13" s="1000"/>
      <c r="U13" s="1000"/>
      <c r="V13" s="1000"/>
      <c r="W13" s="1000"/>
      <c r="X13" s="1000"/>
      <c r="Y13" s="1001"/>
      <c r="Z13" s="34"/>
      <c r="AA13" s="191"/>
      <c r="AB13" s="191"/>
      <c r="AC13" s="191"/>
      <c r="AD13" s="191"/>
      <c r="AE13" s="191"/>
      <c r="AF13" s="191"/>
      <c r="AG13" s="191"/>
      <c r="AH13" s="999" t="s">
        <v>937</v>
      </c>
      <c r="AI13" s="1000"/>
      <c r="AJ13" s="1000"/>
      <c r="AK13" s="1000"/>
      <c r="AL13" s="1000"/>
      <c r="AM13" s="1000"/>
      <c r="AN13" s="1000"/>
      <c r="AO13" s="1000"/>
      <c r="AP13" s="1000"/>
      <c r="AQ13" s="1000"/>
      <c r="AR13" s="1000"/>
      <c r="AS13" s="1000"/>
      <c r="AT13" s="1000"/>
      <c r="AU13" s="1001"/>
      <c r="AV13" s="191"/>
      <c r="AW13" s="999" t="s">
        <v>937</v>
      </c>
      <c r="AX13" s="1000"/>
      <c r="AY13" s="1000"/>
      <c r="AZ13" s="1000"/>
      <c r="BA13" s="1000"/>
      <c r="BB13" s="1000"/>
      <c r="BC13" s="1000"/>
      <c r="BD13" s="1000"/>
      <c r="BE13" s="1000"/>
      <c r="BF13" s="1000"/>
      <c r="BG13" s="1000"/>
      <c r="BH13" s="1000"/>
      <c r="BI13" s="1000"/>
      <c r="BJ13" s="1001"/>
      <c r="BK13" s="999" t="s">
        <v>937</v>
      </c>
      <c r="BL13" s="1000"/>
      <c r="BM13" s="1000"/>
      <c r="BN13" s="1000"/>
      <c r="BO13" s="1000"/>
      <c r="BP13" s="1000"/>
      <c r="BQ13" s="1000"/>
      <c r="BR13" s="1000"/>
      <c r="BS13" s="1000"/>
      <c r="BT13" s="1000"/>
      <c r="BU13" s="1000"/>
      <c r="BV13" s="1000"/>
      <c r="BW13" s="1000"/>
      <c r="BX13" s="1001"/>
    </row>
    <row r="14" spans="2:79" ht="42.75" thickBot="1" x14ac:dyDescent="0.3">
      <c r="B14" s="194" t="s">
        <v>938</v>
      </c>
      <c r="C14" s="194" t="s">
        <v>272</v>
      </c>
      <c r="D14" s="209" t="s">
        <v>1049</v>
      </c>
      <c r="E14" s="209" t="s">
        <v>273</v>
      </c>
      <c r="F14" s="108" t="s">
        <v>941</v>
      </c>
      <c r="G14" s="108" t="s">
        <v>942</v>
      </c>
      <c r="H14" s="108" t="s">
        <v>943</v>
      </c>
      <c r="I14" s="108" t="s">
        <v>944</v>
      </c>
      <c r="J14" s="108" t="s">
        <v>945</v>
      </c>
      <c r="K14" s="109" t="s">
        <v>946</v>
      </c>
      <c r="L14" s="108" t="s">
        <v>947</v>
      </c>
      <c r="M14" s="108" t="s">
        <v>948</v>
      </c>
      <c r="N14" s="108" t="s">
        <v>949</v>
      </c>
      <c r="O14" s="108" t="s">
        <v>950</v>
      </c>
      <c r="P14" s="108" t="s">
        <v>951</v>
      </c>
      <c r="Q14" s="108" t="s">
        <v>952</v>
      </c>
      <c r="R14" s="108" t="s">
        <v>953</v>
      </c>
      <c r="S14" s="108" t="s">
        <v>954</v>
      </c>
      <c r="T14" s="108" t="s">
        <v>955</v>
      </c>
      <c r="U14" s="110" t="s">
        <v>956</v>
      </c>
      <c r="V14" s="110" t="s">
        <v>957</v>
      </c>
      <c r="W14" s="110" t="s">
        <v>958</v>
      </c>
      <c r="X14" s="110" t="s">
        <v>959</v>
      </c>
      <c r="Y14" s="110" t="s">
        <v>960</v>
      </c>
      <c r="Z14" s="34"/>
      <c r="AA14" s="195" t="s">
        <v>938</v>
      </c>
      <c r="AB14" s="195" t="s">
        <v>272</v>
      </c>
      <c r="AC14" s="195" t="s">
        <v>273</v>
      </c>
      <c r="AD14" s="195" t="s">
        <v>274</v>
      </c>
      <c r="AE14" s="195" t="s">
        <v>1049</v>
      </c>
      <c r="AF14" s="195" t="s">
        <v>961</v>
      </c>
      <c r="AG14" s="266" t="s">
        <v>962</v>
      </c>
      <c r="AH14" s="210" t="s">
        <v>963</v>
      </c>
      <c r="AI14" s="210" t="s">
        <v>964</v>
      </c>
      <c r="AJ14" s="210" t="s">
        <v>965</v>
      </c>
      <c r="AK14" s="210" t="s">
        <v>966</v>
      </c>
      <c r="AL14" s="210" t="s">
        <v>967</v>
      </c>
      <c r="AM14" s="210" t="s">
        <v>968</v>
      </c>
      <c r="AN14" s="210" t="s">
        <v>969</v>
      </c>
      <c r="AO14" s="210" t="s">
        <v>970</v>
      </c>
      <c r="AP14" s="210" t="s">
        <v>971</v>
      </c>
      <c r="AQ14" s="210" t="s">
        <v>972</v>
      </c>
      <c r="AR14" s="211" t="s">
        <v>973</v>
      </c>
      <c r="AS14" s="111" t="s">
        <v>974</v>
      </c>
      <c r="AT14" s="111" t="s">
        <v>975</v>
      </c>
      <c r="AU14" s="111" t="s">
        <v>976</v>
      </c>
      <c r="AV14" s="191"/>
      <c r="AW14" s="210" t="s">
        <v>963</v>
      </c>
      <c r="AX14" s="210" t="s">
        <v>964</v>
      </c>
      <c r="AY14" s="210" t="s">
        <v>965</v>
      </c>
      <c r="AZ14" s="210" t="s">
        <v>966</v>
      </c>
      <c r="BA14" s="210" t="s">
        <v>967</v>
      </c>
      <c r="BB14" s="210" t="s">
        <v>968</v>
      </c>
      <c r="BC14" s="210" t="s">
        <v>969</v>
      </c>
      <c r="BD14" s="210" t="s">
        <v>970</v>
      </c>
      <c r="BE14" s="210" t="s">
        <v>971</v>
      </c>
      <c r="BF14" s="210" t="s">
        <v>972</v>
      </c>
      <c r="BG14" s="211" t="s">
        <v>973</v>
      </c>
      <c r="BH14" s="111" t="s">
        <v>974</v>
      </c>
      <c r="BI14" s="111" t="s">
        <v>975</v>
      </c>
      <c r="BJ14" s="111" t="s">
        <v>976</v>
      </c>
      <c r="BK14" s="210" t="s">
        <v>963</v>
      </c>
      <c r="BL14" s="210" t="s">
        <v>964</v>
      </c>
      <c r="BM14" s="210" t="s">
        <v>965</v>
      </c>
      <c r="BN14" s="210" t="s">
        <v>966</v>
      </c>
      <c r="BO14" s="210" t="s">
        <v>967</v>
      </c>
      <c r="BP14" s="210" t="s">
        <v>968</v>
      </c>
      <c r="BQ14" s="210" t="s">
        <v>969</v>
      </c>
      <c r="BR14" s="210" t="s">
        <v>970</v>
      </c>
      <c r="BS14" s="210" t="s">
        <v>971</v>
      </c>
      <c r="BT14" s="210" t="s">
        <v>972</v>
      </c>
      <c r="BU14" s="211" t="s">
        <v>973</v>
      </c>
      <c r="BV14" s="111" t="s">
        <v>974</v>
      </c>
      <c r="BW14" s="111" t="s">
        <v>975</v>
      </c>
      <c r="BX14" s="111" t="s">
        <v>976</v>
      </c>
      <c r="CA14" s="104"/>
    </row>
    <row r="15" spans="2:79" ht="21.75" x14ac:dyDescent="0.2">
      <c r="B15" s="201" t="s">
        <v>977</v>
      </c>
      <c r="C15" s="112" t="s">
        <v>706</v>
      </c>
      <c r="D15" s="113">
        <v>12</v>
      </c>
      <c r="E15" s="114" t="s">
        <v>978</v>
      </c>
      <c r="F15" s="115" t="s">
        <v>28</v>
      </c>
      <c r="G15" s="116" t="s">
        <v>28</v>
      </c>
      <c r="H15" s="116"/>
      <c r="I15" s="116" t="s">
        <v>28</v>
      </c>
      <c r="J15" s="116"/>
      <c r="K15" s="116" t="s">
        <v>28</v>
      </c>
      <c r="L15" s="116"/>
      <c r="M15" s="116"/>
      <c r="N15" s="116"/>
      <c r="O15" s="116"/>
      <c r="P15" s="116" t="s">
        <v>28</v>
      </c>
      <c r="Q15" s="116"/>
      <c r="R15" s="116"/>
      <c r="S15" s="116"/>
      <c r="T15" s="116"/>
      <c r="U15" s="116" t="s">
        <v>28</v>
      </c>
      <c r="V15" s="116"/>
      <c r="W15" s="116"/>
      <c r="X15" s="116"/>
      <c r="Y15" s="117"/>
      <c r="Z15" s="34"/>
      <c r="AA15" s="118" t="s">
        <v>977</v>
      </c>
      <c r="AB15" s="112" t="s">
        <v>706</v>
      </c>
      <c r="AC15" s="119" t="s">
        <v>978</v>
      </c>
      <c r="AD15" s="120" t="s">
        <v>283</v>
      </c>
      <c r="AE15" s="113">
        <v>12</v>
      </c>
      <c r="AF15" s="121" t="s">
        <v>979</v>
      </c>
      <c r="AG15" s="122">
        <v>83</v>
      </c>
      <c r="AH15" s="212"/>
      <c r="AI15" s="213"/>
      <c r="AJ15" s="213"/>
      <c r="AK15" s="213"/>
      <c r="AL15" s="213"/>
      <c r="AM15" s="213">
        <v>50</v>
      </c>
      <c r="AN15" s="213">
        <v>16</v>
      </c>
      <c r="AO15" s="213"/>
      <c r="AP15" s="213">
        <v>56</v>
      </c>
      <c r="AQ15" s="213">
        <v>162</v>
      </c>
      <c r="AR15" s="214">
        <v>96</v>
      </c>
      <c r="AS15" s="215">
        <v>120</v>
      </c>
      <c r="AT15" s="214">
        <v>180</v>
      </c>
      <c r="AU15" s="216">
        <v>300</v>
      </c>
      <c r="AV15" s="191"/>
      <c r="AW15" s="123"/>
      <c r="AX15" s="121"/>
      <c r="AY15" s="121"/>
      <c r="AZ15" s="121">
        <v>64</v>
      </c>
      <c r="BA15" s="121"/>
      <c r="BB15" s="121">
        <v>16</v>
      </c>
      <c r="BC15" s="121">
        <v>56</v>
      </c>
      <c r="BD15" s="121"/>
      <c r="BE15" s="121"/>
      <c r="BF15" s="121">
        <v>8</v>
      </c>
      <c r="BG15" s="121">
        <v>162</v>
      </c>
      <c r="BH15" s="121">
        <v>120</v>
      </c>
      <c r="BI15" s="121">
        <v>180</v>
      </c>
      <c r="BJ15" s="124">
        <v>300</v>
      </c>
      <c r="BK15" s="123"/>
      <c r="BL15" s="121"/>
      <c r="BM15" s="121"/>
      <c r="BN15" s="121">
        <v>64</v>
      </c>
      <c r="BO15" s="121"/>
      <c r="BP15" s="121">
        <v>16</v>
      </c>
      <c r="BQ15" s="121">
        <v>56</v>
      </c>
      <c r="BR15" s="121"/>
      <c r="BS15" s="121"/>
      <c r="BT15" s="121">
        <v>8</v>
      </c>
      <c r="BU15" s="121">
        <v>162</v>
      </c>
      <c r="BV15" s="121">
        <v>120</v>
      </c>
      <c r="BW15" s="121">
        <v>180</v>
      </c>
      <c r="BX15" s="122">
        <v>300</v>
      </c>
    </row>
    <row r="16" spans="2:79" ht="23.25" x14ac:dyDescent="0.3">
      <c r="B16" s="202" t="s">
        <v>980</v>
      </c>
      <c r="C16" s="125" t="s">
        <v>707</v>
      </c>
      <c r="D16" s="126">
        <v>6</v>
      </c>
      <c r="E16" s="127" t="s">
        <v>978</v>
      </c>
      <c r="F16" s="128" t="s">
        <v>28</v>
      </c>
      <c r="G16" s="129"/>
      <c r="H16" s="129"/>
      <c r="I16" s="129"/>
      <c r="J16" s="129"/>
      <c r="K16" s="129" t="s">
        <v>28</v>
      </c>
      <c r="L16" s="129" t="s">
        <v>28</v>
      </c>
      <c r="M16" s="129"/>
      <c r="N16" s="129"/>
      <c r="O16" s="129"/>
      <c r="P16" s="129" t="s">
        <v>28</v>
      </c>
      <c r="Q16" s="129"/>
      <c r="R16" s="129"/>
      <c r="S16" s="129"/>
      <c r="T16" s="129"/>
      <c r="U16" s="129"/>
      <c r="V16" s="129"/>
      <c r="W16" s="129"/>
      <c r="X16" s="129"/>
      <c r="Y16" s="130"/>
      <c r="Z16" s="34"/>
      <c r="AA16" s="131" t="s">
        <v>980</v>
      </c>
      <c r="AB16" s="125" t="s">
        <v>707</v>
      </c>
      <c r="AC16" s="132" t="s">
        <v>978</v>
      </c>
      <c r="AD16" s="133" t="s">
        <v>283</v>
      </c>
      <c r="AE16" s="126">
        <v>6</v>
      </c>
      <c r="AF16" s="134" t="s">
        <v>979</v>
      </c>
      <c r="AG16" s="135">
        <v>91</v>
      </c>
      <c r="AH16" s="217">
        <v>2</v>
      </c>
      <c r="AI16" s="218"/>
      <c r="AJ16" s="218"/>
      <c r="AK16" s="218"/>
      <c r="AL16" s="218"/>
      <c r="AM16" s="218"/>
      <c r="AN16" s="218">
        <v>54</v>
      </c>
      <c r="AO16" s="218"/>
      <c r="AP16" s="218"/>
      <c r="AQ16" s="218">
        <v>12</v>
      </c>
      <c r="AR16" s="219">
        <v>82</v>
      </c>
      <c r="AS16" s="220">
        <v>60</v>
      </c>
      <c r="AT16" s="219">
        <v>90</v>
      </c>
      <c r="AU16" s="221">
        <v>150</v>
      </c>
      <c r="AV16" s="191"/>
      <c r="AW16" s="136">
        <v>2</v>
      </c>
      <c r="AX16" s="134"/>
      <c r="AY16" s="134"/>
      <c r="AZ16" s="134"/>
      <c r="BA16" s="134"/>
      <c r="BB16" s="134"/>
      <c r="BC16" s="134">
        <v>54</v>
      </c>
      <c r="BD16" s="134"/>
      <c r="BE16" s="134"/>
      <c r="BF16" s="134">
        <v>12</v>
      </c>
      <c r="BG16" s="134">
        <v>82</v>
      </c>
      <c r="BH16" s="134">
        <v>60</v>
      </c>
      <c r="BI16" s="134">
        <v>90</v>
      </c>
      <c r="BJ16" s="137">
        <v>150</v>
      </c>
      <c r="BK16" s="136">
        <v>2</v>
      </c>
      <c r="BL16" s="134"/>
      <c r="BM16" s="134"/>
      <c r="BN16" s="134"/>
      <c r="BO16" s="134"/>
      <c r="BP16" s="134"/>
      <c r="BQ16" s="134">
        <v>54</v>
      </c>
      <c r="BR16" s="134"/>
      <c r="BS16" s="134"/>
      <c r="BT16" s="134">
        <v>12</v>
      </c>
      <c r="BU16" s="134">
        <v>82</v>
      </c>
      <c r="BV16" s="134">
        <v>60</v>
      </c>
      <c r="BW16" s="134">
        <v>90</v>
      </c>
      <c r="BX16" s="135">
        <v>150</v>
      </c>
      <c r="CA16" s="106" t="s">
        <v>238</v>
      </c>
    </row>
    <row r="17" spans="2:80" ht="21.75" x14ac:dyDescent="0.2">
      <c r="B17" s="202" t="s">
        <v>981</v>
      </c>
      <c r="C17" s="125" t="s">
        <v>708</v>
      </c>
      <c r="D17" s="126">
        <v>6</v>
      </c>
      <c r="E17" s="127" t="s">
        <v>978</v>
      </c>
      <c r="F17" s="128" t="s">
        <v>28</v>
      </c>
      <c r="G17" s="129" t="s">
        <v>28</v>
      </c>
      <c r="H17" s="129"/>
      <c r="I17" s="129" t="s">
        <v>28</v>
      </c>
      <c r="J17" s="129" t="s">
        <v>28</v>
      </c>
      <c r="K17" s="129"/>
      <c r="L17" s="129" t="s">
        <v>28</v>
      </c>
      <c r="M17" s="129" t="s">
        <v>28</v>
      </c>
      <c r="N17" s="129" t="s">
        <v>28</v>
      </c>
      <c r="O17" s="129"/>
      <c r="P17" s="129" t="s">
        <v>28</v>
      </c>
      <c r="Q17" s="129"/>
      <c r="R17" s="129" t="s">
        <v>28</v>
      </c>
      <c r="S17" s="129"/>
      <c r="T17" s="129"/>
      <c r="U17" s="129"/>
      <c r="V17" s="129"/>
      <c r="W17" s="129"/>
      <c r="X17" s="129"/>
      <c r="Y17" s="130"/>
      <c r="Z17" s="34"/>
      <c r="AA17" s="131" t="s">
        <v>981</v>
      </c>
      <c r="AB17" s="125" t="s">
        <v>708</v>
      </c>
      <c r="AC17" s="132" t="s">
        <v>978</v>
      </c>
      <c r="AD17" s="133" t="s">
        <v>283</v>
      </c>
      <c r="AE17" s="126">
        <v>6</v>
      </c>
      <c r="AF17" s="134" t="s">
        <v>979</v>
      </c>
      <c r="AG17" s="135">
        <v>63</v>
      </c>
      <c r="AH17" s="217"/>
      <c r="AI17" s="218"/>
      <c r="AJ17" s="218"/>
      <c r="AK17" s="218">
        <v>49.5</v>
      </c>
      <c r="AL17" s="218"/>
      <c r="AM17" s="218"/>
      <c r="AN17" s="218">
        <v>5</v>
      </c>
      <c r="AO17" s="218"/>
      <c r="AP17" s="218"/>
      <c r="AQ17" s="218">
        <v>32</v>
      </c>
      <c r="AR17" s="219">
        <v>63.5</v>
      </c>
      <c r="AS17" s="220">
        <v>60</v>
      </c>
      <c r="AT17" s="219">
        <v>90</v>
      </c>
      <c r="AU17" s="221">
        <v>150</v>
      </c>
      <c r="AV17" s="191"/>
      <c r="AW17" s="136"/>
      <c r="AX17" s="134"/>
      <c r="AY17" s="134"/>
      <c r="AZ17" s="134">
        <v>49.5</v>
      </c>
      <c r="BA17" s="134"/>
      <c r="BB17" s="134"/>
      <c r="BC17" s="134">
        <v>5</v>
      </c>
      <c r="BD17" s="134"/>
      <c r="BE17" s="134"/>
      <c r="BF17" s="134">
        <v>32</v>
      </c>
      <c r="BG17" s="134">
        <v>63.5</v>
      </c>
      <c r="BH17" s="134">
        <v>58</v>
      </c>
      <c r="BI17" s="134">
        <v>92</v>
      </c>
      <c r="BJ17" s="137">
        <v>150</v>
      </c>
      <c r="BK17" s="136"/>
      <c r="BL17" s="134"/>
      <c r="BM17" s="134"/>
      <c r="BN17" s="134">
        <v>49.5</v>
      </c>
      <c r="BO17" s="134"/>
      <c r="BP17" s="134"/>
      <c r="BQ17" s="134">
        <v>5</v>
      </c>
      <c r="BR17" s="134"/>
      <c r="BS17" s="134"/>
      <c r="BT17" s="134">
        <v>32</v>
      </c>
      <c r="BU17" s="134">
        <v>63.5</v>
      </c>
      <c r="BV17" s="134">
        <v>58</v>
      </c>
      <c r="BW17" s="134">
        <v>92</v>
      </c>
      <c r="BX17" s="135">
        <v>150</v>
      </c>
    </row>
    <row r="18" spans="2:80" ht="21.75" x14ac:dyDescent="0.2">
      <c r="B18" s="202" t="s">
        <v>982</v>
      </c>
      <c r="C18" s="125" t="s">
        <v>709</v>
      </c>
      <c r="D18" s="126">
        <v>6</v>
      </c>
      <c r="E18" s="127" t="s">
        <v>978</v>
      </c>
      <c r="F18" s="128" t="s">
        <v>28</v>
      </c>
      <c r="G18" s="129" t="s">
        <v>28</v>
      </c>
      <c r="H18" s="129"/>
      <c r="I18" s="129" t="s">
        <v>28</v>
      </c>
      <c r="J18" s="129" t="s">
        <v>28</v>
      </c>
      <c r="K18" s="129"/>
      <c r="L18" s="129"/>
      <c r="M18" s="129" t="s">
        <v>28</v>
      </c>
      <c r="N18" s="129" t="s">
        <v>28</v>
      </c>
      <c r="O18" s="129"/>
      <c r="P18" s="129" t="s">
        <v>28</v>
      </c>
      <c r="Q18" s="129"/>
      <c r="R18" s="129"/>
      <c r="S18" s="129"/>
      <c r="T18" s="129"/>
      <c r="U18" s="129"/>
      <c r="V18" s="129"/>
      <c r="W18" s="129"/>
      <c r="X18" s="129"/>
      <c r="Y18" s="130"/>
      <c r="Z18" s="34"/>
      <c r="AA18" s="131" t="s">
        <v>982</v>
      </c>
      <c r="AB18" s="125" t="s">
        <v>709</v>
      </c>
      <c r="AC18" s="132" t="s">
        <v>978</v>
      </c>
      <c r="AD18" s="133" t="s">
        <v>283</v>
      </c>
      <c r="AE18" s="126">
        <v>6</v>
      </c>
      <c r="AF18" s="134" t="s">
        <v>979</v>
      </c>
      <c r="AG18" s="135">
        <v>64</v>
      </c>
      <c r="AH18" s="217"/>
      <c r="AI18" s="218"/>
      <c r="AJ18" s="218"/>
      <c r="AK18" s="218">
        <v>49.5</v>
      </c>
      <c r="AL18" s="218"/>
      <c r="AM18" s="218"/>
      <c r="AN18" s="218">
        <v>5</v>
      </c>
      <c r="AO18" s="218"/>
      <c r="AP18" s="218"/>
      <c r="AQ18" s="218">
        <v>32</v>
      </c>
      <c r="AR18" s="219">
        <v>63.5</v>
      </c>
      <c r="AS18" s="220"/>
      <c r="AT18" s="219"/>
      <c r="AU18" s="221"/>
      <c r="AV18" s="191"/>
      <c r="AW18" s="136"/>
      <c r="AX18" s="134"/>
      <c r="AY18" s="134"/>
      <c r="AZ18" s="134">
        <v>49.5</v>
      </c>
      <c r="BA18" s="134"/>
      <c r="BB18" s="134"/>
      <c r="BC18" s="134">
        <v>5</v>
      </c>
      <c r="BD18" s="134"/>
      <c r="BE18" s="134"/>
      <c r="BF18" s="134">
        <v>32</v>
      </c>
      <c r="BG18" s="134">
        <v>63.5</v>
      </c>
      <c r="BH18" s="134">
        <v>58</v>
      </c>
      <c r="BI18" s="134">
        <v>92</v>
      </c>
      <c r="BJ18" s="137">
        <v>150</v>
      </c>
      <c r="BK18" s="136"/>
      <c r="BL18" s="134"/>
      <c r="BM18" s="134"/>
      <c r="BN18" s="134">
        <v>49.5</v>
      </c>
      <c r="BO18" s="134"/>
      <c r="BP18" s="134"/>
      <c r="BQ18" s="134">
        <v>5</v>
      </c>
      <c r="BR18" s="134"/>
      <c r="BS18" s="134"/>
      <c r="BT18" s="134">
        <v>32</v>
      </c>
      <c r="BU18" s="134">
        <v>63.5</v>
      </c>
      <c r="BV18" s="134">
        <v>58</v>
      </c>
      <c r="BW18" s="134">
        <v>92</v>
      </c>
      <c r="BX18" s="135">
        <v>150</v>
      </c>
      <c r="CA18" s="278" t="s">
        <v>983</v>
      </c>
      <c r="CB18" s="278" t="s">
        <v>984</v>
      </c>
    </row>
    <row r="19" spans="2:80" ht="21.75" x14ac:dyDescent="0.2">
      <c r="B19" s="202" t="s">
        <v>985</v>
      </c>
      <c r="C19" s="125" t="s">
        <v>710</v>
      </c>
      <c r="D19" s="126">
        <v>6</v>
      </c>
      <c r="E19" s="127" t="s">
        <v>978</v>
      </c>
      <c r="F19" s="128" t="s">
        <v>28</v>
      </c>
      <c r="G19" s="129"/>
      <c r="H19" s="129"/>
      <c r="I19" s="129" t="s">
        <v>28</v>
      </c>
      <c r="J19" s="129" t="s">
        <v>28</v>
      </c>
      <c r="K19" s="129" t="s">
        <v>28</v>
      </c>
      <c r="L19" s="129"/>
      <c r="M19" s="129" t="s">
        <v>28</v>
      </c>
      <c r="N19" s="129"/>
      <c r="O19" s="129"/>
      <c r="P19" s="129" t="s">
        <v>28</v>
      </c>
      <c r="Q19" s="129"/>
      <c r="R19" s="129"/>
      <c r="S19" s="129"/>
      <c r="T19" s="129"/>
      <c r="U19" s="129"/>
      <c r="V19" s="129"/>
      <c r="W19" s="129"/>
      <c r="X19" s="129"/>
      <c r="Y19" s="130"/>
      <c r="Z19" s="34"/>
      <c r="AA19" s="131" t="s">
        <v>985</v>
      </c>
      <c r="AB19" s="125" t="s">
        <v>710</v>
      </c>
      <c r="AC19" s="132" t="s">
        <v>978</v>
      </c>
      <c r="AD19" s="133" t="s">
        <v>283</v>
      </c>
      <c r="AE19" s="126">
        <v>6</v>
      </c>
      <c r="AF19" s="134" t="s">
        <v>979</v>
      </c>
      <c r="AG19" s="135">
        <v>91</v>
      </c>
      <c r="AH19" s="217"/>
      <c r="AI19" s="218"/>
      <c r="AJ19" s="218"/>
      <c r="AK19" s="218"/>
      <c r="AL19" s="218"/>
      <c r="AM19" s="218"/>
      <c r="AN19" s="218">
        <v>2</v>
      </c>
      <c r="AO19" s="218"/>
      <c r="AP19" s="218">
        <v>14</v>
      </c>
      <c r="AQ19" s="218">
        <v>18</v>
      </c>
      <c r="AR19" s="219">
        <v>116</v>
      </c>
      <c r="AS19" s="220">
        <v>60</v>
      </c>
      <c r="AT19" s="219">
        <v>90</v>
      </c>
      <c r="AU19" s="221">
        <v>150</v>
      </c>
      <c r="AV19" s="191"/>
      <c r="AW19" s="136">
        <v>2</v>
      </c>
      <c r="AX19" s="134"/>
      <c r="AY19" s="134"/>
      <c r="AZ19" s="134"/>
      <c r="BA19" s="134"/>
      <c r="BB19" s="134"/>
      <c r="BC19" s="134">
        <v>4</v>
      </c>
      <c r="BD19" s="134"/>
      <c r="BE19" s="134">
        <v>28</v>
      </c>
      <c r="BF19" s="134">
        <v>8</v>
      </c>
      <c r="BG19" s="134">
        <v>110</v>
      </c>
      <c r="BH19" s="134">
        <v>60</v>
      </c>
      <c r="BI19" s="134">
        <v>90</v>
      </c>
      <c r="BJ19" s="137">
        <v>150</v>
      </c>
      <c r="BK19" s="136">
        <v>2</v>
      </c>
      <c r="BL19" s="134"/>
      <c r="BM19" s="134"/>
      <c r="BN19" s="134"/>
      <c r="BO19" s="134"/>
      <c r="BP19" s="134"/>
      <c r="BQ19" s="134">
        <v>4</v>
      </c>
      <c r="BR19" s="134"/>
      <c r="BS19" s="134">
        <v>28</v>
      </c>
      <c r="BT19" s="134">
        <v>8</v>
      </c>
      <c r="BU19" s="134">
        <v>110</v>
      </c>
      <c r="BV19" s="134">
        <v>60</v>
      </c>
      <c r="BW19" s="134">
        <v>90</v>
      </c>
      <c r="BX19" s="135">
        <v>150</v>
      </c>
      <c r="CA19" s="105" t="s">
        <v>941</v>
      </c>
      <c r="CB19" s="105" t="s">
        <v>986</v>
      </c>
    </row>
    <row r="20" spans="2:80" ht="21.75" x14ac:dyDescent="0.2">
      <c r="B20" s="202" t="s">
        <v>987</v>
      </c>
      <c r="C20" s="125" t="s">
        <v>711</v>
      </c>
      <c r="D20" s="126">
        <v>6</v>
      </c>
      <c r="E20" s="127" t="s">
        <v>978</v>
      </c>
      <c r="F20" s="128" t="s">
        <v>28</v>
      </c>
      <c r="G20" s="129"/>
      <c r="H20" s="129"/>
      <c r="I20" s="129"/>
      <c r="J20" s="129" t="s">
        <v>28</v>
      </c>
      <c r="K20" s="129" t="s">
        <v>28</v>
      </c>
      <c r="L20" s="129"/>
      <c r="M20" s="129"/>
      <c r="N20" s="129"/>
      <c r="O20" s="129"/>
      <c r="P20" s="129" t="s">
        <v>28</v>
      </c>
      <c r="Q20" s="129"/>
      <c r="R20" s="129"/>
      <c r="S20" s="129"/>
      <c r="T20" s="129"/>
      <c r="U20" s="129"/>
      <c r="V20" s="129"/>
      <c r="W20" s="129"/>
      <c r="X20" s="129"/>
      <c r="Y20" s="130"/>
      <c r="Z20" s="34"/>
      <c r="AA20" s="131" t="s">
        <v>987</v>
      </c>
      <c r="AB20" s="125" t="s">
        <v>711</v>
      </c>
      <c r="AC20" s="132" t="s">
        <v>978</v>
      </c>
      <c r="AD20" s="133" t="s">
        <v>283</v>
      </c>
      <c r="AE20" s="126">
        <v>6</v>
      </c>
      <c r="AF20" s="134" t="s">
        <v>979</v>
      </c>
      <c r="AG20" s="135">
        <v>87</v>
      </c>
      <c r="AH20" s="217">
        <v>2</v>
      </c>
      <c r="AI20" s="218"/>
      <c r="AJ20" s="218"/>
      <c r="AK20" s="218"/>
      <c r="AL20" s="218"/>
      <c r="AM20" s="218"/>
      <c r="AN20" s="218">
        <v>30</v>
      </c>
      <c r="AO20" s="218"/>
      <c r="AP20" s="218"/>
      <c r="AQ20" s="218">
        <v>30</v>
      </c>
      <c r="AR20" s="219">
        <v>88</v>
      </c>
      <c r="AS20" s="220">
        <v>64</v>
      </c>
      <c r="AT20" s="219">
        <v>86</v>
      </c>
      <c r="AU20" s="221">
        <v>150</v>
      </c>
      <c r="AV20" s="191"/>
      <c r="AW20" s="136"/>
      <c r="AX20" s="134"/>
      <c r="AY20" s="134"/>
      <c r="AZ20" s="134"/>
      <c r="BA20" s="134"/>
      <c r="BB20" s="134"/>
      <c r="BC20" s="134">
        <v>30</v>
      </c>
      <c r="BD20" s="134"/>
      <c r="BE20" s="134"/>
      <c r="BF20" s="134">
        <v>10</v>
      </c>
      <c r="BG20" s="134">
        <v>88</v>
      </c>
      <c r="BH20" s="134">
        <v>64</v>
      </c>
      <c r="BI20" s="134">
        <v>86</v>
      </c>
      <c r="BJ20" s="137">
        <v>150</v>
      </c>
      <c r="BK20" s="136"/>
      <c r="BL20" s="134"/>
      <c r="BM20" s="134"/>
      <c r="BN20" s="134"/>
      <c r="BO20" s="134"/>
      <c r="BP20" s="134"/>
      <c r="BQ20" s="134">
        <v>30</v>
      </c>
      <c r="BR20" s="134"/>
      <c r="BS20" s="134"/>
      <c r="BT20" s="134">
        <v>10</v>
      </c>
      <c r="BU20" s="134">
        <v>88</v>
      </c>
      <c r="BV20" s="134">
        <v>64</v>
      </c>
      <c r="BW20" s="134">
        <v>86</v>
      </c>
      <c r="BX20" s="135">
        <v>150</v>
      </c>
      <c r="CA20" s="105" t="s">
        <v>942</v>
      </c>
      <c r="CB20" s="105" t="s">
        <v>988</v>
      </c>
    </row>
    <row r="21" spans="2:80" x14ac:dyDescent="0.2">
      <c r="B21" s="202" t="s">
        <v>989</v>
      </c>
      <c r="C21" s="125" t="s">
        <v>712</v>
      </c>
      <c r="D21" s="126">
        <v>3</v>
      </c>
      <c r="E21" s="127" t="s">
        <v>978</v>
      </c>
      <c r="F21" s="128" t="s">
        <v>28</v>
      </c>
      <c r="G21" s="129"/>
      <c r="H21" s="129"/>
      <c r="I21" s="129" t="s">
        <v>28</v>
      </c>
      <c r="J21" s="129" t="s">
        <v>28</v>
      </c>
      <c r="K21" s="129" t="s">
        <v>28</v>
      </c>
      <c r="L21" s="129"/>
      <c r="M21" s="129" t="s">
        <v>28</v>
      </c>
      <c r="N21" s="129" t="s">
        <v>28</v>
      </c>
      <c r="O21" s="129"/>
      <c r="P21" s="129" t="s">
        <v>28</v>
      </c>
      <c r="Q21" s="129"/>
      <c r="R21" s="129" t="s">
        <v>28</v>
      </c>
      <c r="S21" s="129"/>
      <c r="T21" s="129"/>
      <c r="U21" s="129"/>
      <c r="V21" s="129"/>
      <c r="W21" s="129"/>
      <c r="X21" s="129"/>
      <c r="Y21" s="130"/>
      <c r="Z21" s="34"/>
      <c r="AA21" s="131" t="s">
        <v>989</v>
      </c>
      <c r="AB21" s="125" t="s">
        <v>712</v>
      </c>
      <c r="AC21" s="132" t="s">
        <v>978</v>
      </c>
      <c r="AD21" s="133" t="s">
        <v>309</v>
      </c>
      <c r="AE21" s="126">
        <v>3</v>
      </c>
      <c r="AF21" s="134" t="s">
        <v>979</v>
      </c>
      <c r="AG21" s="135">
        <v>62</v>
      </c>
      <c r="AH21" s="217"/>
      <c r="AI21" s="218"/>
      <c r="AJ21" s="218"/>
      <c r="AK21" s="218">
        <v>25</v>
      </c>
      <c r="AL21" s="218"/>
      <c r="AM21" s="218"/>
      <c r="AN21" s="218">
        <v>20</v>
      </c>
      <c r="AO21" s="218"/>
      <c r="AP21" s="218"/>
      <c r="AQ21" s="218">
        <v>5</v>
      </c>
      <c r="AR21" s="219">
        <v>25</v>
      </c>
      <c r="AS21" s="220">
        <v>30</v>
      </c>
      <c r="AT21" s="219">
        <v>45</v>
      </c>
      <c r="AU21" s="221">
        <v>75</v>
      </c>
      <c r="AV21" s="191"/>
      <c r="AW21" s="136"/>
      <c r="AX21" s="134"/>
      <c r="AY21" s="134"/>
      <c r="AZ21" s="134"/>
      <c r="BA21" s="134">
        <v>19</v>
      </c>
      <c r="BB21" s="134"/>
      <c r="BC21" s="134">
        <v>20</v>
      </c>
      <c r="BD21" s="134"/>
      <c r="BE21" s="134"/>
      <c r="BF21" s="134">
        <v>11</v>
      </c>
      <c r="BG21" s="134">
        <v>25</v>
      </c>
      <c r="BH21" s="134">
        <v>30</v>
      </c>
      <c r="BI21" s="134">
        <v>45</v>
      </c>
      <c r="BJ21" s="137">
        <v>75</v>
      </c>
      <c r="BK21" s="136"/>
      <c r="BL21" s="134"/>
      <c r="BM21" s="134"/>
      <c r="BN21" s="134"/>
      <c r="BO21" s="134">
        <v>19</v>
      </c>
      <c r="BP21" s="134"/>
      <c r="BQ21" s="134">
        <v>20</v>
      </c>
      <c r="BR21" s="134"/>
      <c r="BS21" s="134"/>
      <c r="BT21" s="134">
        <v>11</v>
      </c>
      <c r="BU21" s="134">
        <v>25</v>
      </c>
      <c r="BV21" s="134">
        <v>30</v>
      </c>
      <c r="BW21" s="134">
        <v>45</v>
      </c>
      <c r="BX21" s="135">
        <v>75</v>
      </c>
      <c r="CA21" s="105" t="s">
        <v>943</v>
      </c>
      <c r="CB21" s="105" t="s">
        <v>990</v>
      </c>
    </row>
    <row r="22" spans="2:80" ht="21" x14ac:dyDescent="0.2">
      <c r="B22" s="202" t="s">
        <v>991</v>
      </c>
      <c r="C22" s="125" t="s">
        <v>713</v>
      </c>
      <c r="D22" s="126">
        <v>6</v>
      </c>
      <c r="E22" s="127" t="s">
        <v>978</v>
      </c>
      <c r="F22" s="128" t="s">
        <v>28</v>
      </c>
      <c r="G22" s="129"/>
      <c r="H22" s="129"/>
      <c r="I22" s="129" t="s">
        <v>28</v>
      </c>
      <c r="J22" s="129" t="s">
        <v>28</v>
      </c>
      <c r="K22" s="129" t="s">
        <v>28</v>
      </c>
      <c r="L22" s="129"/>
      <c r="M22" s="129" t="s">
        <v>28</v>
      </c>
      <c r="N22" s="129"/>
      <c r="O22" s="129"/>
      <c r="P22" s="129"/>
      <c r="Q22" s="129"/>
      <c r="R22" s="129"/>
      <c r="S22" s="129"/>
      <c r="T22" s="129" t="s">
        <v>28</v>
      </c>
      <c r="U22" s="129"/>
      <c r="V22" s="129"/>
      <c r="W22" s="129"/>
      <c r="X22" s="129" t="s">
        <v>28</v>
      </c>
      <c r="Y22" s="130"/>
      <c r="Z22" s="34"/>
      <c r="AA22" s="131" t="s">
        <v>991</v>
      </c>
      <c r="AB22" s="125" t="s">
        <v>713</v>
      </c>
      <c r="AC22" s="132" t="s">
        <v>978</v>
      </c>
      <c r="AD22" s="133" t="s">
        <v>309</v>
      </c>
      <c r="AE22" s="126">
        <v>6</v>
      </c>
      <c r="AF22" s="134" t="s">
        <v>992</v>
      </c>
      <c r="AG22" s="135">
        <v>63</v>
      </c>
      <c r="AH22" s="217">
        <v>2</v>
      </c>
      <c r="AI22" s="218"/>
      <c r="AJ22" s="218"/>
      <c r="AK22" s="218"/>
      <c r="AL22" s="218"/>
      <c r="AM22" s="218">
        <v>26</v>
      </c>
      <c r="AN22" s="218">
        <v>46</v>
      </c>
      <c r="AO22" s="218"/>
      <c r="AP22" s="218">
        <v>63</v>
      </c>
      <c r="AQ22" s="218">
        <v>16</v>
      </c>
      <c r="AR22" s="219">
        <v>43</v>
      </c>
      <c r="AS22" s="220">
        <v>65</v>
      </c>
      <c r="AT22" s="219">
        <v>85</v>
      </c>
      <c r="AU22" s="221">
        <v>150</v>
      </c>
      <c r="AV22" s="191"/>
      <c r="AW22" s="136">
        <v>2</v>
      </c>
      <c r="AX22" s="134"/>
      <c r="AY22" s="134"/>
      <c r="AZ22" s="134">
        <v>63</v>
      </c>
      <c r="BA22" s="134"/>
      <c r="BB22" s="134"/>
      <c r="BC22" s="134">
        <v>26</v>
      </c>
      <c r="BD22" s="134"/>
      <c r="BE22" s="134"/>
      <c r="BF22" s="134">
        <v>16</v>
      </c>
      <c r="BG22" s="134">
        <v>43</v>
      </c>
      <c r="BH22" s="134">
        <v>60</v>
      </c>
      <c r="BI22" s="134">
        <v>90</v>
      </c>
      <c r="BJ22" s="137">
        <v>150</v>
      </c>
      <c r="BK22" s="136">
        <v>2</v>
      </c>
      <c r="BL22" s="134"/>
      <c r="BM22" s="134"/>
      <c r="BN22" s="134">
        <v>63</v>
      </c>
      <c r="BO22" s="134"/>
      <c r="BP22" s="134"/>
      <c r="BQ22" s="134">
        <v>26</v>
      </c>
      <c r="BR22" s="134"/>
      <c r="BS22" s="134"/>
      <c r="BT22" s="134">
        <v>16</v>
      </c>
      <c r="BU22" s="134">
        <v>43</v>
      </c>
      <c r="BV22" s="134">
        <v>60</v>
      </c>
      <c r="BW22" s="134">
        <v>90</v>
      </c>
      <c r="BX22" s="135">
        <v>150</v>
      </c>
      <c r="CA22" s="105" t="s">
        <v>944</v>
      </c>
      <c r="CB22" s="105" t="s">
        <v>993</v>
      </c>
    </row>
    <row r="23" spans="2:80" ht="21" x14ac:dyDescent="0.2">
      <c r="B23" s="202" t="s">
        <v>994</v>
      </c>
      <c r="C23" s="125" t="s">
        <v>714</v>
      </c>
      <c r="D23" s="126">
        <v>6</v>
      </c>
      <c r="E23" s="127" t="s">
        <v>978</v>
      </c>
      <c r="F23" s="128" t="s">
        <v>28</v>
      </c>
      <c r="G23" s="129"/>
      <c r="H23" s="129"/>
      <c r="I23" s="129" t="s">
        <v>28</v>
      </c>
      <c r="J23" s="129" t="s">
        <v>28</v>
      </c>
      <c r="K23" s="129" t="s">
        <v>28</v>
      </c>
      <c r="L23" s="129"/>
      <c r="M23" s="129" t="s">
        <v>28</v>
      </c>
      <c r="N23" s="129"/>
      <c r="O23" s="129"/>
      <c r="P23" s="129"/>
      <c r="Q23" s="129"/>
      <c r="R23" s="129"/>
      <c r="S23" s="129"/>
      <c r="T23" s="129" t="s">
        <v>28</v>
      </c>
      <c r="U23" s="129"/>
      <c r="V23" s="129"/>
      <c r="W23" s="129"/>
      <c r="X23" s="129" t="s">
        <v>28</v>
      </c>
      <c r="Y23" s="130"/>
      <c r="Z23" s="34"/>
      <c r="AA23" s="131" t="s">
        <v>994</v>
      </c>
      <c r="AB23" s="125" t="s">
        <v>714</v>
      </c>
      <c r="AC23" s="132" t="s">
        <v>978</v>
      </c>
      <c r="AD23" s="133" t="s">
        <v>309</v>
      </c>
      <c r="AE23" s="126">
        <v>6</v>
      </c>
      <c r="AF23" s="134" t="s">
        <v>992</v>
      </c>
      <c r="AG23" s="135">
        <v>64</v>
      </c>
      <c r="AH23" s="217">
        <v>2</v>
      </c>
      <c r="AI23" s="218"/>
      <c r="AJ23" s="218"/>
      <c r="AK23" s="218"/>
      <c r="AL23" s="218"/>
      <c r="AM23" s="218">
        <v>26</v>
      </c>
      <c r="AN23" s="218">
        <v>34</v>
      </c>
      <c r="AO23" s="218"/>
      <c r="AP23" s="218">
        <v>63</v>
      </c>
      <c r="AQ23" s="218">
        <v>16</v>
      </c>
      <c r="AR23" s="219">
        <v>43</v>
      </c>
      <c r="AS23" s="220">
        <v>65</v>
      </c>
      <c r="AT23" s="219">
        <v>85</v>
      </c>
      <c r="AU23" s="221">
        <v>150</v>
      </c>
      <c r="AV23" s="191"/>
      <c r="AW23" s="136">
        <v>2</v>
      </c>
      <c r="AX23" s="134"/>
      <c r="AY23" s="134"/>
      <c r="AZ23" s="134"/>
      <c r="BA23" s="134"/>
      <c r="BB23" s="134"/>
      <c r="BC23" s="134">
        <v>26</v>
      </c>
      <c r="BD23" s="134"/>
      <c r="BE23" s="134"/>
      <c r="BF23" s="134">
        <v>16</v>
      </c>
      <c r="BG23" s="134">
        <v>43</v>
      </c>
      <c r="BH23" s="134">
        <v>60</v>
      </c>
      <c r="BI23" s="134">
        <v>90</v>
      </c>
      <c r="BJ23" s="137">
        <v>150</v>
      </c>
      <c r="BK23" s="136">
        <v>2</v>
      </c>
      <c r="BL23" s="134"/>
      <c r="BM23" s="134"/>
      <c r="BN23" s="134"/>
      <c r="BO23" s="134"/>
      <c r="BP23" s="134"/>
      <c r="BQ23" s="134">
        <v>26</v>
      </c>
      <c r="BR23" s="134"/>
      <c r="BS23" s="134"/>
      <c r="BT23" s="134">
        <v>16</v>
      </c>
      <c r="BU23" s="134">
        <v>43</v>
      </c>
      <c r="BV23" s="134">
        <v>60</v>
      </c>
      <c r="BW23" s="134">
        <v>90</v>
      </c>
      <c r="BX23" s="135">
        <v>150</v>
      </c>
      <c r="CA23" s="105" t="s">
        <v>945</v>
      </c>
      <c r="CB23" s="105" t="s">
        <v>995</v>
      </c>
    </row>
    <row r="24" spans="2:80" ht="13.5" thickBot="1" x14ac:dyDescent="0.25">
      <c r="B24" s="203" t="s">
        <v>996</v>
      </c>
      <c r="C24" s="138" t="s">
        <v>715</v>
      </c>
      <c r="D24" s="139">
        <v>3</v>
      </c>
      <c r="E24" s="140" t="s">
        <v>978</v>
      </c>
      <c r="F24" s="141" t="s">
        <v>28</v>
      </c>
      <c r="G24" s="142"/>
      <c r="H24" s="142"/>
      <c r="I24" s="142" t="s">
        <v>28</v>
      </c>
      <c r="J24" s="142" t="s">
        <v>28</v>
      </c>
      <c r="K24" s="142" t="s">
        <v>28</v>
      </c>
      <c r="L24" s="142"/>
      <c r="M24" s="142"/>
      <c r="N24" s="142"/>
      <c r="O24" s="142"/>
      <c r="P24" s="142" t="s">
        <v>28</v>
      </c>
      <c r="Q24" s="142"/>
      <c r="R24" s="142"/>
      <c r="S24" s="142"/>
      <c r="T24" s="142" t="s">
        <v>28</v>
      </c>
      <c r="U24" s="142"/>
      <c r="V24" s="142"/>
      <c r="W24" s="142"/>
      <c r="X24" s="142"/>
      <c r="Y24" s="143"/>
      <c r="Z24" s="34"/>
      <c r="AA24" s="144" t="s">
        <v>996</v>
      </c>
      <c r="AB24" s="138" t="s">
        <v>715</v>
      </c>
      <c r="AC24" s="145" t="s">
        <v>978</v>
      </c>
      <c r="AD24" s="146" t="s">
        <v>309</v>
      </c>
      <c r="AE24" s="139">
        <v>3</v>
      </c>
      <c r="AF24" s="147" t="s">
        <v>992</v>
      </c>
      <c r="AG24" s="148">
        <v>64</v>
      </c>
      <c r="AH24" s="222">
        <v>2</v>
      </c>
      <c r="AI24" s="223"/>
      <c r="AJ24" s="223"/>
      <c r="AK24" s="223"/>
      <c r="AL24" s="223">
        <v>20</v>
      </c>
      <c r="AM24" s="223"/>
      <c r="AN24" s="223">
        <v>12</v>
      </c>
      <c r="AO24" s="223"/>
      <c r="AP24" s="223">
        <v>28</v>
      </c>
      <c r="AQ24" s="223">
        <v>9</v>
      </c>
      <c r="AR24" s="224">
        <v>4</v>
      </c>
      <c r="AS24" s="225">
        <v>60</v>
      </c>
      <c r="AT24" s="224">
        <v>90</v>
      </c>
      <c r="AU24" s="226">
        <v>150</v>
      </c>
      <c r="AV24" s="191"/>
      <c r="AW24" s="149">
        <v>2</v>
      </c>
      <c r="AX24" s="147"/>
      <c r="AY24" s="147"/>
      <c r="AZ24" s="147">
        <v>48</v>
      </c>
      <c r="BA24" s="147"/>
      <c r="BB24" s="147"/>
      <c r="BC24" s="147">
        <v>12</v>
      </c>
      <c r="BD24" s="147"/>
      <c r="BE24" s="147"/>
      <c r="BF24" s="147">
        <v>9</v>
      </c>
      <c r="BG24" s="147">
        <v>4</v>
      </c>
      <c r="BH24" s="147">
        <v>30</v>
      </c>
      <c r="BI24" s="147">
        <v>45</v>
      </c>
      <c r="BJ24" s="150">
        <v>75</v>
      </c>
      <c r="BK24" s="149">
        <v>2</v>
      </c>
      <c r="BL24" s="147"/>
      <c r="BM24" s="147"/>
      <c r="BN24" s="147">
        <v>48</v>
      </c>
      <c r="BO24" s="147"/>
      <c r="BP24" s="147"/>
      <c r="BQ24" s="147">
        <v>12</v>
      </c>
      <c r="BR24" s="147"/>
      <c r="BS24" s="147"/>
      <c r="BT24" s="147">
        <v>9</v>
      </c>
      <c r="BU24" s="147">
        <v>4</v>
      </c>
      <c r="BV24" s="147">
        <v>30</v>
      </c>
      <c r="BW24" s="147">
        <v>45</v>
      </c>
      <c r="BX24" s="148">
        <v>75</v>
      </c>
      <c r="CA24" s="105" t="s">
        <v>946</v>
      </c>
      <c r="CB24" s="105" t="s">
        <v>997</v>
      </c>
    </row>
    <row r="25" spans="2:80" ht="13.5" thickBot="1" x14ac:dyDescent="0.25">
      <c r="B25" s="299"/>
      <c r="C25" s="300"/>
      <c r="D25" s="301"/>
      <c r="E25" s="301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4"/>
      <c r="AA25" s="303"/>
      <c r="AB25" s="304"/>
      <c r="AC25" s="301"/>
      <c r="AD25" s="301"/>
      <c r="AE25" s="305"/>
      <c r="AF25" s="306"/>
      <c r="AG25" s="306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227">
        <f>SUM(AS10:AS24)</f>
        <v>584</v>
      </c>
      <c r="AT25" s="227">
        <f>SUM(AT10:AT24)</f>
        <v>841</v>
      </c>
      <c r="AU25" s="229">
        <f>SUM(AU10:AU24)</f>
        <v>1425</v>
      </c>
      <c r="AV25" s="191"/>
      <c r="AW25" s="308"/>
      <c r="AX25" s="308"/>
      <c r="AY25" s="308"/>
      <c r="AZ25" s="308"/>
      <c r="BA25" s="308"/>
      <c r="BB25" s="308"/>
      <c r="BC25" s="308"/>
      <c r="BD25" s="308"/>
      <c r="BE25" s="308"/>
      <c r="BF25" s="309"/>
      <c r="BG25" s="308"/>
      <c r="BH25" s="227">
        <f>SUM(BH10:BH24)</f>
        <v>600</v>
      </c>
      <c r="BI25" s="227">
        <f>SUM(BI10:BI24)</f>
        <v>900</v>
      </c>
      <c r="BJ25" s="227">
        <f>SUM(BJ10:BJ24)</f>
        <v>1500</v>
      </c>
      <c r="BK25" s="193"/>
      <c r="BL25" s="193"/>
      <c r="BM25" s="193"/>
      <c r="BN25" s="193"/>
      <c r="BO25" s="193"/>
      <c r="BP25" s="193"/>
      <c r="BQ25" s="193"/>
      <c r="BR25" s="193"/>
      <c r="BS25" s="193"/>
      <c r="BT25" s="193"/>
      <c r="BU25" s="193"/>
      <c r="BV25" s="227">
        <f>SUM(BV10:BV24)</f>
        <v>600</v>
      </c>
      <c r="BW25" s="227">
        <f>SUM(BW10:BW24)</f>
        <v>900</v>
      </c>
      <c r="BX25" s="227">
        <f>SUM(BX10:BX24)</f>
        <v>1500</v>
      </c>
    </row>
    <row r="26" spans="2:80" ht="13.5" thickBot="1" x14ac:dyDescent="0.25">
      <c r="B26" s="299"/>
      <c r="C26" s="300"/>
      <c r="D26" s="301"/>
      <c r="E26" s="301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4"/>
      <c r="AA26" s="303"/>
      <c r="AB26" s="304"/>
      <c r="AC26" s="301"/>
      <c r="AD26" s="301"/>
      <c r="AE26" s="305"/>
      <c r="AF26" s="306"/>
      <c r="AG26" s="306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228">
        <f>AS25/AU25</f>
        <v>0.40982456140350876</v>
      </c>
      <c r="AT26" s="228">
        <f>AT25/AU25</f>
        <v>0.59017543859649124</v>
      </c>
      <c r="AU26" s="228">
        <f>AU25/AU25</f>
        <v>1</v>
      </c>
      <c r="AV26" s="191"/>
      <c r="AW26" s="308"/>
      <c r="AX26" s="308"/>
      <c r="AY26" s="308"/>
      <c r="AZ26" s="308"/>
      <c r="BA26" s="308"/>
      <c r="BB26" s="308"/>
      <c r="BC26" s="308"/>
      <c r="BD26" s="308"/>
      <c r="BE26" s="308"/>
      <c r="BF26" s="309"/>
      <c r="BG26" s="308"/>
      <c r="BH26" s="228">
        <f>BH25/BJ25</f>
        <v>0.4</v>
      </c>
      <c r="BI26" s="228">
        <f>BI25/BJ25</f>
        <v>0.6</v>
      </c>
      <c r="BJ26" s="228">
        <f>BJ25/BJ25</f>
        <v>1</v>
      </c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228">
        <f>BV25/BX25</f>
        <v>0.4</v>
      </c>
      <c r="BW26" s="228">
        <f>BW25/BX25</f>
        <v>0.6</v>
      </c>
      <c r="BX26" s="228">
        <f>BX25/BX25</f>
        <v>1</v>
      </c>
    </row>
    <row r="27" spans="2:80" ht="13.5" thickBot="1" x14ac:dyDescent="0.25">
      <c r="B27" s="204"/>
      <c r="C27" s="19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CA27" s="105" t="s">
        <v>947</v>
      </c>
      <c r="CB27" s="105" t="s">
        <v>998</v>
      </c>
    </row>
    <row r="28" spans="2:80" ht="16.5" customHeight="1" thickBot="1" x14ac:dyDescent="0.25">
      <c r="B28" s="199"/>
      <c r="C28" s="193"/>
      <c r="D28" s="34"/>
      <c r="E28" s="34"/>
      <c r="F28" s="999" t="s">
        <v>935</v>
      </c>
      <c r="G28" s="1000"/>
      <c r="H28" s="1000"/>
      <c r="I28" s="1000"/>
      <c r="J28" s="1000"/>
      <c r="K28" s="1001"/>
      <c r="L28" s="999" t="s">
        <v>936</v>
      </c>
      <c r="M28" s="1000"/>
      <c r="N28" s="1000"/>
      <c r="O28" s="1000"/>
      <c r="P28" s="1000"/>
      <c r="Q28" s="1000"/>
      <c r="R28" s="1000"/>
      <c r="S28" s="1000"/>
      <c r="T28" s="1000"/>
      <c r="U28" s="1000"/>
      <c r="V28" s="1000"/>
      <c r="W28" s="1000"/>
      <c r="X28" s="1000"/>
      <c r="Y28" s="1001"/>
      <c r="Z28" s="34"/>
      <c r="AA28" s="191"/>
      <c r="AB28" s="191"/>
      <c r="AC28" s="191"/>
      <c r="AD28" s="191"/>
      <c r="AE28" s="191"/>
      <c r="AF28" s="191"/>
      <c r="AG28" s="191"/>
      <c r="AH28" s="999" t="s">
        <v>937</v>
      </c>
      <c r="AI28" s="1000"/>
      <c r="AJ28" s="1000"/>
      <c r="AK28" s="1000"/>
      <c r="AL28" s="1000"/>
      <c r="AM28" s="1000"/>
      <c r="AN28" s="1000"/>
      <c r="AO28" s="1000"/>
      <c r="AP28" s="1000"/>
      <c r="AQ28" s="1000"/>
      <c r="AR28" s="1000"/>
      <c r="AS28" s="1000"/>
      <c r="AT28" s="1000"/>
      <c r="AU28" s="1001"/>
      <c r="AV28" s="191"/>
      <c r="AW28" s="999" t="s">
        <v>937</v>
      </c>
      <c r="AX28" s="1000"/>
      <c r="AY28" s="1000"/>
      <c r="AZ28" s="1000"/>
      <c r="BA28" s="1000"/>
      <c r="BB28" s="1000"/>
      <c r="BC28" s="1000"/>
      <c r="BD28" s="1000"/>
      <c r="BE28" s="1000"/>
      <c r="BF28" s="1000"/>
      <c r="BG28" s="1000"/>
      <c r="BH28" s="1000"/>
      <c r="BI28" s="1000"/>
      <c r="BJ28" s="1001"/>
      <c r="BK28" s="999" t="s">
        <v>937</v>
      </c>
      <c r="BL28" s="1000"/>
      <c r="BM28" s="1000"/>
      <c r="BN28" s="1000"/>
      <c r="BO28" s="1000"/>
      <c r="BP28" s="1000"/>
      <c r="BQ28" s="1000"/>
      <c r="BR28" s="1000"/>
      <c r="BS28" s="1000"/>
      <c r="BT28" s="1000"/>
      <c r="BU28" s="1000"/>
      <c r="BV28" s="1000"/>
      <c r="BW28" s="1000"/>
      <c r="BX28" s="1001"/>
      <c r="CA28" s="105" t="s">
        <v>948</v>
      </c>
      <c r="CB28" s="105" t="s">
        <v>999</v>
      </c>
    </row>
    <row r="29" spans="2:80" s="272" customFormat="1" ht="42.75" thickBot="1" x14ac:dyDescent="0.25">
      <c r="B29" s="194" t="s">
        <v>938</v>
      </c>
      <c r="C29" s="194" t="s">
        <v>272</v>
      </c>
      <c r="D29" s="194" t="s">
        <v>1049</v>
      </c>
      <c r="E29" s="194" t="s">
        <v>273</v>
      </c>
      <c r="F29" s="273" t="s">
        <v>941</v>
      </c>
      <c r="G29" s="273" t="s">
        <v>942</v>
      </c>
      <c r="H29" s="273" t="s">
        <v>943</v>
      </c>
      <c r="I29" s="273" t="s">
        <v>944</v>
      </c>
      <c r="J29" s="273" t="s">
        <v>945</v>
      </c>
      <c r="K29" s="274" t="s">
        <v>946</v>
      </c>
      <c r="L29" s="275" t="s">
        <v>947</v>
      </c>
      <c r="M29" s="273" t="s">
        <v>948</v>
      </c>
      <c r="N29" s="273" t="s">
        <v>949</v>
      </c>
      <c r="O29" s="273" t="s">
        <v>950</v>
      </c>
      <c r="P29" s="273" t="s">
        <v>951</v>
      </c>
      <c r="Q29" s="273" t="s">
        <v>952</v>
      </c>
      <c r="R29" s="273" t="s">
        <v>953</v>
      </c>
      <c r="S29" s="273" t="s">
        <v>954</v>
      </c>
      <c r="T29" s="273" t="s">
        <v>955</v>
      </c>
      <c r="U29" s="274" t="s">
        <v>956</v>
      </c>
      <c r="V29" s="274" t="s">
        <v>957</v>
      </c>
      <c r="W29" s="274" t="s">
        <v>958</v>
      </c>
      <c r="X29" s="274" t="s">
        <v>959</v>
      </c>
      <c r="Y29" s="274" t="s">
        <v>960</v>
      </c>
      <c r="Z29" s="265"/>
      <c r="AA29" s="195" t="s">
        <v>938</v>
      </c>
      <c r="AB29" s="195" t="s">
        <v>272</v>
      </c>
      <c r="AC29" s="195" t="s">
        <v>273</v>
      </c>
      <c r="AD29" s="195" t="s">
        <v>274</v>
      </c>
      <c r="AE29" s="195" t="s">
        <v>1049</v>
      </c>
      <c r="AF29" s="195" t="s">
        <v>961</v>
      </c>
      <c r="AG29" s="266" t="s">
        <v>962</v>
      </c>
      <c r="AH29" s="276" t="s">
        <v>963</v>
      </c>
      <c r="AI29" s="276" t="s">
        <v>964</v>
      </c>
      <c r="AJ29" s="276" t="s">
        <v>965</v>
      </c>
      <c r="AK29" s="276" t="s">
        <v>966</v>
      </c>
      <c r="AL29" s="276" t="s">
        <v>967</v>
      </c>
      <c r="AM29" s="276" t="s">
        <v>968</v>
      </c>
      <c r="AN29" s="276" t="s">
        <v>969</v>
      </c>
      <c r="AO29" s="276" t="s">
        <v>970</v>
      </c>
      <c r="AP29" s="276" t="s">
        <v>971</v>
      </c>
      <c r="AQ29" s="276" t="s">
        <v>972</v>
      </c>
      <c r="AR29" s="277" t="s">
        <v>973</v>
      </c>
      <c r="AS29" s="111" t="s">
        <v>974</v>
      </c>
      <c r="AT29" s="111" t="s">
        <v>975</v>
      </c>
      <c r="AU29" s="111" t="s">
        <v>976</v>
      </c>
      <c r="AV29" s="265"/>
      <c r="AW29" s="273" t="s">
        <v>963</v>
      </c>
      <c r="AX29" s="273" t="s">
        <v>964</v>
      </c>
      <c r="AY29" s="273" t="s">
        <v>965</v>
      </c>
      <c r="AZ29" s="273" t="s">
        <v>966</v>
      </c>
      <c r="BA29" s="273" t="s">
        <v>967</v>
      </c>
      <c r="BB29" s="273" t="s">
        <v>968</v>
      </c>
      <c r="BC29" s="273" t="s">
        <v>969</v>
      </c>
      <c r="BD29" s="273" t="s">
        <v>970</v>
      </c>
      <c r="BE29" s="273" t="s">
        <v>971</v>
      </c>
      <c r="BF29" s="273" t="s">
        <v>972</v>
      </c>
      <c r="BG29" s="274" t="s">
        <v>973</v>
      </c>
      <c r="BH29" s="111" t="s">
        <v>974</v>
      </c>
      <c r="BI29" s="111" t="s">
        <v>975</v>
      </c>
      <c r="BJ29" s="111" t="s">
        <v>976</v>
      </c>
      <c r="BK29" s="273" t="s">
        <v>963</v>
      </c>
      <c r="BL29" s="273" t="s">
        <v>964</v>
      </c>
      <c r="BM29" s="273" t="s">
        <v>965</v>
      </c>
      <c r="BN29" s="273" t="s">
        <v>966</v>
      </c>
      <c r="BO29" s="273" t="s">
        <v>967</v>
      </c>
      <c r="BP29" s="273" t="s">
        <v>968</v>
      </c>
      <c r="BQ29" s="273" t="s">
        <v>969</v>
      </c>
      <c r="BR29" s="273" t="s">
        <v>970</v>
      </c>
      <c r="BS29" s="273" t="s">
        <v>971</v>
      </c>
      <c r="BT29" s="273" t="s">
        <v>972</v>
      </c>
      <c r="BU29" s="274" t="s">
        <v>973</v>
      </c>
      <c r="BV29" s="111" t="s">
        <v>974</v>
      </c>
      <c r="BW29" s="111" t="s">
        <v>975</v>
      </c>
      <c r="BX29" s="111" t="s">
        <v>976</v>
      </c>
      <c r="CA29" s="105" t="s">
        <v>949</v>
      </c>
      <c r="CB29" s="105" t="s">
        <v>1000</v>
      </c>
    </row>
    <row r="30" spans="2:80" ht="21.75" x14ac:dyDescent="0.2">
      <c r="B30" s="205" t="s">
        <v>1001</v>
      </c>
      <c r="C30" s="152" t="s">
        <v>716</v>
      </c>
      <c r="D30" s="126">
        <v>6</v>
      </c>
      <c r="E30" s="153" t="s">
        <v>1002</v>
      </c>
      <c r="F30" s="115" t="s">
        <v>28</v>
      </c>
      <c r="G30" s="116"/>
      <c r="H30" s="116"/>
      <c r="I30" s="116" t="s">
        <v>28</v>
      </c>
      <c r="J30" s="116" t="s">
        <v>28</v>
      </c>
      <c r="K30" s="116" t="s">
        <v>28</v>
      </c>
      <c r="L30" s="116"/>
      <c r="M30" s="116"/>
      <c r="N30" s="116"/>
      <c r="O30" s="116"/>
      <c r="P30" s="116" t="s">
        <v>28</v>
      </c>
      <c r="Q30" s="116"/>
      <c r="R30" s="116" t="s">
        <v>28</v>
      </c>
      <c r="S30" s="116"/>
      <c r="T30" s="116"/>
      <c r="U30" s="116"/>
      <c r="V30" s="116"/>
      <c r="W30" s="116"/>
      <c r="X30" s="116"/>
      <c r="Y30" s="117"/>
      <c r="Z30" s="34"/>
      <c r="AA30" s="118" t="s">
        <v>1001</v>
      </c>
      <c r="AB30" s="112" t="s">
        <v>716</v>
      </c>
      <c r="AC30" s="113" t="s">
        <v>1002</v>
      </c>
      <c r="AD30" s="120" t="s">
        <v>283</v>
      </c>
      <c r="AE30" s="121">
        <v>6</v>
      </c>
      <c r="AF30" s="121" t="s">
        <v>979</v>
      </c>
      <c r="AG30" s="122">
        <v>56</v>
      </c>
      <c r="AH30" s="212">
        <v>1</v>
      </c>
      <c r="AI30" s="213"/>
      <c r="AJ30" s="213"/>
      <c r="AK30" s="213">
        <v>20</v>
      </c>
      <c r="AL30" s="213">
        <v>3</v>
      </c>
      <c r="AM30" s="213"/>
      <c r="AN30" s="213"/>
      <c r="AO30" s="213"/>
      <c r="AP30" s="213"/>
      <c r="AQ30" s="213">
        <v>36</v>
      </c>
      <c r="AR30" s="214">
        <v>90</v>
      </c>
      <c r="AS30" s="215">
        <v>60</v>
      </c>
      <c r="AT30" s="214">
        <v>90</v>
      </c>
      <c r="AU30" s="221">
        <f t="shared" ref="AU30:AU41" si="0">AS30+AT30</f>
        <v>150</v>
      </c>
      <c r="AV30" s="191"/>
      <c r="AW30" s="230"/>
      <c r="AX30" s="231"/>
      <c r="AY30" s="231">
        <v>27</v>
      </c>
      <c r="AZ30" s="231"/>
      <c r="BA30" s="231"/>
      <c r="BB30" s="231">
        <v>3</v>
      </c>
      <c r="BC30" s="231">
        <v>3</v>
      </c>
      <c r="BD30" s="231"/>
      <c r="BE30" s="231"/>
      <c r="BF30" s="231">
        <v>59</v>
      </c>
      <c r="BG30" s="231">
        <v>58</v>
      </c>
      <c r="BH30" s="231">
        <v>60</v>
      </c>
      <c r="BI30" s="231">
        <v>90</v>
      </c>
      <c r="BJ30" s="232">
        <v>150</v>
      </c>
      <c r="BK30" s="230"/>
      <c r="BL30" s="231"/>
      <c r="BM30" s="231">
        <v>27</v>
      </c>
      <c r="BN30" s="231"/>
      <c r="BO30" s="231"/>
      <c r="BP30" s="231">
        <v>3</v>
      </c>
      <c r="BQ30" s="231">
        <v>3</v>
      </c>
      <c r="BR30" s="231"/>
      <c r="BS30" s="231"/>
      <c r="BT30" s="231">
        <v>59</v>
      </c>
      <c r="BU30" s="231">
        <v>58</v>
      </c>
      <c r="BV30" s="231">
        <v>60</v>
      </c>
      <c r="BW30" s="231">
        <v>90</v>
      </c>
      <c r="BX30" s="233">
        <v>150</v>
      </c>
      <c r="CA30" s="105" t="s">
        <v>950</v>
      </c>
      <c r="CB30" s="105" t="s">
        <v>1003</v>
      </c>
    </row>
    <row r="31" spans="2:80" x14ac:dyDescent="0.2">
      <c r="B31" s="205" t="s">
        <v>1004</v>
      </c>
      <c r="C31" s="152" t="s">
        <v>717</v>
      </c>
      <c r="D31" s="126">
        <v>3</v>
      </c>
      <c r="E31" s="157" t="s">
        <v>1002</v>
      </c>
      <c r="F31" s="128" t="s">
        <v>28</v>
      </c>
      <c r="G31" s="129" t="s">
        <v>28</v>
      </c>
      <c r="H31" s="129"/>
      <c r="I31" s="129" t="s">
        <v>28</v>
      </c>
      <c r="J31" s="129" t="s">
        <v>28</v>
      </c>
      <c r="K31" s="129"/>
      <c r="L31" s="129"/>
      <c r="M31" s="129"/>
      <c r="N31" s="129"/>
      <c r="O31" s="129"/>
      <c r="P31" s="129" t="s">
        <v>28</v>
      </c>
      <c r="Q31" s="129"/>
      <c r="R31" s="129" t="s">
        <v>28</v>
      </c>
      <c r="S31" s="129"/>
      <c r="T31" s="129"/>
      <c r="U31" s="129"/>
      <c r="V31" s="129"/>
      <c r="W31" s="129"/>
      <c r="X31" s="129"/>
      <c r="Y31" s="130"/>
      <c r="Z31" s="34"/>
      <c r="AA31" s="131" t="s">
        <v>1004</v>
      </c>
      <c r="AB31" s="125" t="s">
        <v>717</v>
      </c>
      <c r="AC31" s="126" t="s">
        <v>1002</v>
      </c>
      <c r="AD31" s="126" t="s">
        <v>309</v>
      </c>
      <c r="AE31" s="134">
        <v>3</v>
      </c>
      <c r="AF31" s="134" t="s">
        <v>979</v>
      </c>
      <c r="AG31" s="135">
        <v>46</v>
      </c>
      <c r="AH31" s="217">
        <v>1</v>
      </c>
      <c r="AI31" s="218"/>
      <c r="AJ31" s="218"/>
      <c r="AK31" s="218"/>
      <c r="AL31" s="218"/>
      <c r="AM31" s="218">
        <v>2</v>
      </c>
      <c r="AN31" s="218"/>
      <c r="AO31" s="218"/>
      <c r="AP31" s="218">
        <v>31</v>
      </c>
      <c r="AQ31" s="218">
        <v>2</v>
      </c>
      <c r="AR31" s="219">
        <v>39</v>
      </c>
      <c r="AS31" s="220">
        <v>34</v>
      </c>
      <c r="AT31" s="219">
        <v>41</v>
      </c>
      <c r="AU31" s="221">
        <f t="shared" si="0"/>
        <v>75</v>
      </c>
      <c r="AV31" s="191"/>
      <c r="AW31" s="234">
        <v>1</v>
      </c>
      <c r="AX31" s="235"/>
      <c r="AY31" s="235">
        <v>2</v>
      </c>
      <c r="AZ31" s="235"/>
      <c r="BA31" s="235"/>
      <c r="BB31" s="235"/>
      <c r="BC31" s="235">
        <v>2</v>
      </c>
      <c r="BD31" s="235"/>
      <c r="BE31" s="235">
        <v>11</v>
      </c>
      <c r="BF31" s="235"/>
      <c r="BG31" s="235">
        <v>59</v>
      </c>
      <c r="BH31" s="235">
        <v>34</v>
      </c>
      <c r="BI31" s="235">
        <v>41</v>
      </c>
      <c r="BJ31" s="236">
        <v>75</v>
      </c>
      <c r="BK31" s="234">
        <v>1</v>
      </c>
      <c r="BL31" s="235"/>
      <c r="BM31" s="235">
        <v>2</v>
      </c>
      <c r="BN31" s="235"/>
      <c r="BO31" s="235"/>
      <c r="BP31" s="235"/>
      <c r="BQ31" s="235">
        <v>2</v>
      </c>
      <c r="BR31" s="235"/>
      <c r="BS31" s="235">
        <v>11</v>
      </c>
      <c r="BT31" s="235"/>
      <c r="BU31" s="235">
        <v>59</v>
      </c>
      <c r="BV31" s="235">
        <v>34</v>
      </c>
      <c r="BW31" s="235">
        <v>41</v>
      </c>
      <c r="BX31" s="237">
        <v>75</v>
      </c>
      <c r="CA31" s="105" t="s">
        <v>951</v>
      </c>
      <c r="CB31" s="105" t="s">
        <v>1005</v>
      </c>
    </row>
    <row r="32" spans="2:80" x14ac:dyDescent="0.2">
      <c r="B32" s="205" t="s">
        <v>1006</v>
      </c>
      <c r="C32" s="152" t="s">
        <v>718</v>
      </c>
      <c r="D32" s="126">
        <v>6</v>
      </c>
      <c r="E32" s="157" t="s">
        <v>1002</v>
      </c>
      <c r="F32" s="128" t="s">
        <v>28</v>
      </c>
      <c r="G32" s="129"/>
      <c r="H32" s="129"/>
      <c r="I32" s="129" t="s">
        <v>28</v>
      </c>
      <c r="J32" s="129" t="s">
        <v>28</v>
      </c>
      <c r="K32" s="129"/>
      <c r="L32" s="129"/>
      <c r="M32" s="129"/>
      <c r="N32" s="129"/>
      <c r="O32" s="129" t="s">
        <v>28</v>
      </c>
      <c r="P32" s="129" t="s">
        <v>28</v>
      </c>
      <c r="Q32" s="129"/>
      <c r="R32" s="129"/>
      <c r="S32" s="129"/>
      <c r="T32" s="129" t="s">
        <v>28</v>
      </c>
      <c r="U32" s="129"/>
      <c r="V32" s="129"/>
      <c r="W32" s="129"/>
      <c r="X32" s="129"/>
      <c r="Y32" s="130"/>
      <c r="Z32" s="34"/>
      <c r="AA32" s="131" t="s">
        <v>1006</v>
      </c>
      <c r="AB32" s="125" t="s">
        <v>718</v>
      </c>
      <c r="AC32" s="126" t="s">
        <v>1002</v>
      </c>
      <c r="AD32" s="126" t="s">
        <v>309</v>
      </c>
      <c r="AE32" s="134">
        <v>6</v>
      </c>
      <c r="AF32" s="134" t="s">
        <v>979</v>
      </c>
      <c r="AG32" s="135">
        <v>50</v>
      </c>
      <c r="AH32" s="217"/>
      <c r="AI32" s="218"/>
      <c r="AJ32" s="218">
        <v>2</v>
      </c>
      <c r="AK32" s="218"/>
      <c r="AL32" s="218"/>
      <c r="AM32" s="218">
        <v>10</v>
      </c>
      <c r="AN32" s="218">
        <v>5</v>
      </c>
      <c r="AO32" s="218"/>
      <c r="AP32" s="218">
        <v>38</v>
      </c>
      <c r="AQ32" s="218"/>
      <c r="AR32" s="219">
        <v>95</v>
      </c>
      <c r="AS32" s="220">
        <v>60</v>
      </c>
      <c r="AT32" s="219">
        <v>90</v>
      </c>
      <c r="AU32" s="221">
        <f t="shared" si="0"/>
        <v>150</v>
      </c>
      <c r="AV32" s="191"/>
      <c r="AW32" s="234"/>
      <c r="AX32" s="235"/>
      <c r="AY32" s="235">
        <v>2</v>
      </c>
      <c r="AZ32" s="235">
        <v>38</v>
      </c>
      <c r="BA32" s="235"/>
      <c r="BB32" s="235"/>
      <c r="BC32" s="235">
        <v>15</v>
      </c>
      <c r="BD32" s="235"/>
      <c r="BE32" s="235"/>
      <c r="BF32" s="235"/>
      <c r="BG32" s="235">
        <v>95</v>
      </c>
      <c r="BH32" s="235">
        <v>60</v>
      </c>
      <c r="BI32" s="235">
        <v>90</v>
      </c>
      <c r="BJ32" s="236">
        <v>150</v>
      </c>
      <c r="BK32" s="234"/>
      <c r="BL32" s="235"/>
      <c r="BM32" s="235">
        <v>2</v>
      </c>
      <c r="BN32" s="235">
        <v>38</v>
      </c>
      <c r="BO32" s="235"/>
      <c r="BP32" s="235"/>
      <c r="BQ32" s="235">
        <v>15</v>
      </c>
      <c r="BR32" s="235"/>
      <c r="BS32" s="235"/>
      <c r="BT32" s="235"/>
      <c r="BU32" s="235">
        <v>95</v>
      </c>
      <c r="BV32" s="235">
        <v>60</v>
      </c>
      <c r="BW32" s="235">
        <v>90</v>
      </c>
      <c r="BX32" s="237">
        <v>150</v>
      </c>
      <c r="CA32" s="105" t="s">
        <v>952</v>
      </c>
      <c r="CB32" s="105" t="s">
        <v>1007</v>
      </c>
    </row>
    <row r="33" spans="1:80" ht="21.75" x14ac:dyDescent="0.2">
      <c r="B33" s="205" t="s">
        <v>1008</v>
      </c>
      <c r="C33" s="152" t="s">
        <v>719</v>
      </c>
      <c r="D33" s="126">
        <v>6</v>
      </c>
      <c r="E33" s="157" t="s">
        <v>1002</v>
      </c>
      <c r="F33" s="128" t="s">
        <v>28</v>
      </c>
      <c r="G33" s="129"/>
      <c r="H33" s="129"/>
      <c r="I33" s="129" t="s">
        <v>28</v>
      </c>
      <c r="J33" s="129" t="s">
        <v>28</v>
      </c>
      <c r="K33" s="129" t="s">
        <v>28</v>
      </c>
      <c r="L33" s="129"/>
      <c r="M33" s="129"/>
      <c r="N33" s="129"/>
      <c r="O33" s="129"/>
      <c r="P33" s="129" t="s">
        <v>28</v>
      </c>
      <c r="Q33" s="129"/>
      <c r="R33" s="129"/>
      <c r="S33" s="129"/>
      <c r="T33" s="129"/>
      <c r="U33" s="129"/>
      <c r="V33" s="129"/>
      <c r="W33" s="129"/>
      <c r="X33" s="129"/>
      <c r="Y33" s="130"/>
      <c r="Z33" s="34"/>
      <c r="AA33" s="131" t="s">
        <v>1008</v>
      </c>
      <c r="AB33" s="125" t="s">
        <v>719</v>
      </c>
      <c r="AC33" s="126" t="s">
        <v>1002</v>
      </c>
      <c r="AD33" s="133" t="s">
        <v>283</v>
      </c>
      <c r="AE33" s="134">
        <v>6</v>
      </c>
      <c r="AF33" s="134" t="s">
        <v>979</v>
      </c>
      <c r="AG33" s="135">
        <v>47</v>
      </c>
      <c r="AH33" s="217">
        <v>1</v>
      </c>
      <c r="AI33" s="218"/>
      <c r="AJ33" s="218"/>
      <c r="AK33" s="218">
        <v>35</v>
      </c>
      <c r="AL33" s="218"/>
      <c r="AM33" s="218">
        <v>2</v>
      </c>
      <c r="AN33" s="218">
        <v>2</v>
      </c>
      <c r="AO33" s="218">
        <v>15</v>
      </c>
      <c r="AP33" s="218"/>
      <c r="AQ33" s="218">
        <v>16</v>
      </c>
      <c r="AR33" s="219">
        <v>79</v>
      </c>
      <c r="AS33" s="220">
        <v>62</v>
      </c>
      <c r="AT33" s="219">
        <v>88</v>
      </c>
      <c r="AU33" s="221">
        <f t="shared" si="0"/>
        <v>150</v>
      </c>
      <c r="AV33" s="191"/>
      <c r="AW33" s="234">
        <v>1</v>
      </c>
      <c r="AX33" s="235"/>
      <c r="AY33" s="235"/>
      <c r="AZ33" s="235">
        <v>35</v>
      </c>
      <c r="BA33" s="235"/>
      <c r="BB33" s="235"/>
      <c r="BC33" s="235">
        <v>4</v>
      </c>
      <c r="BD33" s="235">
        <v>15</v>
      </c>
      <c r="BE33" s="235"/>
      <c r="BF33" s="235">
        <v>16</v>
      </c>
      <c r="BG33" s="235">
        <v>79</v>
      </c>
      <c r="BH33" s="235">
        <v>62</v>
      </c>
      <c r="BI33" s="235">
        <v>88</v>
      </c>
      <c r="BJ33" s="236">
        <v>150</v>
      </c>
      <c r="BK33" s="234">
        <v>1</v>
      </c>
      <c r="BL33" s="235"/>
      <c r="BM33" s="235"/>
      <c r="BN33" s="235">
        <v>35</v>
      </c>
      <c r="BO33" s="235"/>
      <c r="BP33" s="235"/>
      <c r="BQ33" s="235">
        <v>4</v>
      </c>
      <c r="BR33" s="235">
        <v>15</v>
      </c>
      <c r="BS33" s="235"/>
      <c r="BT33" s="235">
        <v>16</v>
      </c>
      <c r="BU33" s="235">
        <v>79</v>
      </c>
      <c r="BV33" s="235">
        <v>62</v>
      </c>
      <c r="BW33" s="235">
        <v>88</v>
      </c>
      <c r="BX33" s="237">
        <v>150</v>
      </c>
      <c r="CA33" s="105" t="s">
        <v>953</v>
      </c>
      <c r="CB33" s="105" t="s">
        <v>1009</v>
      </c>
    </row>
    <row r="34" spans="1:80" ht="21" x14ac:dyDescent="0.2">
      <c r="B34" s="205" t="s">
        <v>1010</v>
      </c>
      <c r="C34" s="152" t="s">
        <v>720</v>
      </c>
      <c r="D34" s="126">
        <v>3</v>
      </c>
      <c r="E34" s="157" t="s">
        <v>1002</v>
      </c>
      <c r="F34" s="128" t="s">
        <v>28</v>
      </c>
      <c r="G34" s="129"/>
      <c r="H34" s="129"/>
      <c r="I34" s="129" t="s">
        <v>28</v>
      </c>
      <c r="J34" s="129" t="s">
        <v>28</v>
      </c>
      <c r="K34" s="129"/>
      <c r="L34" s="129"/>
      <c r="M34" s="129"/>
      <c r="N34" s="129" t="s">
        <v>28</v>
      </c>
      <c r="O34" s="129"/>
      <c r="P34" s="129" t="s">
        <v>28</v>
      </c>
      <c r="Q34" s="129"/>
      <c r="R34" s="129"/>
      <c r="S34" s="129"/>
      <c r="T34" s="129"/>
      <c r="U34" s="129"/>
      <c r="V34" s="129"/>
      <c r="W34" s="129"/>
      <c r="X34" s="129"/>
      <c r="Y34" s="130"/>
      <c r="Z34" s="34"/>
      <c r="AA34" s="131" t="s">
        <v>1010</v>
      </c>
      <c r="AB34" s="125" t="s">
        <v>720</v>
      </c>
      <c r="AC34" s="126" t="s">
        <v>1002</v>
      </c>
      <c r="AD34" s="126" t="s">
        <v>309</v>
      </c>
      <c r="AE34" s="134">
        <v>3</v>
      </c>
      <c r="AF34" s="134" t="s">
        <v>992</v>
      </c>
      <c r="AG34" s="135">
        <v>49</v>
      </c>
      <c r="AH34" s="217"/>
      <c r="AI34" s="218"/>
      <c r="AJ34" s="218"/>
      <c r="AK34" s="218">
        <v>8</v>
      </c>
      <c r="AL34" s="218"/>
      <c r="AM34" s="218">
        <v>20</v>
      </c>
      <c r="AN34" s="218">
        <v>7</v>
      </c>
      <c r="AO34" s="218"/>
      <c r="AP34" s="218"/>
      <c r="AQ34" s="218">
        <v>4</v>
      </c>
      <c r="AR34" s="219">
        <v>36</v>
      </c>
      <c r="AS34" s="220">
        <v>34</v>
      </c>
      <c r="AT34" s="219">
        <v>41</v>
      </c>
      <c r="AU34" s="221">
        <f t="shared" si="0"/>
        <v>75</v>
      </c>
      <c r="AV34" s="191"/>
      <c r="AW34" s="234"/>
      <c r="AX34" s="235"/>
      <c r="AY34" s="235"/>
      <c r="AZ34" s="235">
        <v>8</v>
      </c>
      <c r="BA34" s="235"/>
      <c r="BB34" s="235"/>
      <c r="BC34" s="235">
        <v>27</v>
      </c>
      <c r="BD34" s="235"/>
      <c r="BE34" s="235"/>
      <c r="BF34" s="235"/>
      <c r="BG34" s="235">
        <v>16</v>
      </c>
      <c r="BH34" s="235">
        <v>34</v>
      </c>
      <c r="BI34" s="235">
        <v>41</v>
      </c>
      <c r="BJ34" s="236">
        <v>75</v>
      </c>
      <c r="BK34" s="234"/>
      <c r="BL34" s="235"/>
      <c r="BM34" s="235"/>
      <c r="BN34" s="235">
        <v>8</v>
      </c>
      <c r="BO34" s="235"/>
      <c r="BP34" s="235"/>
      <c r="BQ34" s="235">
        <v>27</v>
      </c>
      <c r="BR34" s="235"/>
      <c r="BS34" s="235"/>
      <c r="BT34" s="235"/>
      <c r="BU34" s="235">
        <v>16</v>
      </c>
      <c r="BV34" s="235">
        <v>34</v>
      </c>
      <c r="BW34" s="235">
        <v>41</v>
      </c>
      <c r="BX34" s="237">
        <v>75</v>
      </c>
      <c r="CA34" s="105" t="s">
        <v>954</v>
      </c>
      <c r="CB34" s="105" t="s">
        <v>1011</v>
      </c>
    </row>
    <row r="35" spans="1:80" x14ac:dyDescent="0.2">
      <c r="B35" s="205" t="s">
        <v>1012</v>
      </c>
      <c r="C35" s="152" t="s">
        <v>721</v>
      </c>
      <c r="D35" s="126">
        <v>3</v>
      </c>
      <c r="E35" s="157" t="s">
        <v>1002</v>
      </c>
      <c r="F35" s="128"/>
      <c r="G35" s="129"/>
      <c r="H35" s="129"/>
      <c r="I35" s="129" t="s">
        <v>28</v>
      </c>
      <c r="J35" s="129" t="s">
        <v>28</v>
      </c>
      <c r="K35" s="129" t="s">
        <v>28</v>
      </c>
      <c r="L35" s="129" t="s">
        <v>28</v>
      </c>
      <c r="M35" s="129" t="s">
        <v>28</v>
      </c>
      <c r="N35" s="129"/>
      <c r="O35" s="129"/>
      <c r="P35" s="129"/>
      <c r="Q35" s="129"/>
      <c r="R35" s="129" t="s">
        <v>28</v>
      </c>
      <c r="S35" s="129"/>
      <c r="T35" s="129"/>
      <c r="U35" s="129"/>
      <c r="V35" s="129"/>
      <c r="W35" s="129"/>
      <c r="X35" s="129"/>
      <c r="Y35" s="130"/>
      <c r="Z35" s="34"/>
      <c r="AA35" s="131" t="s">
        <v>1012</v>
      </c>
      <c r="AB35" s="125" t="s">
        <v>721</v>
      </c>
      <c r="AC35" s="126" t="s">
        <v>1002</v>
      </c>
      <c r="AD35" s="126" t="s">
        <v>309</v>
      </c>
      <c r="AE35" s="134">
        <v>3</v>
      </c>
      <c r="AF35" s="134" t="s">
        <v>979</v>
      </c>
      <c r="AG35" s="135">
        <v>46</v>
      </c>
      <c r="AH35" s="217">
        <v>6</v>
      </c>
      <c r="AI35" s="218"/>
      <c r="AJ35" s="218"/>
      <c r="AK35" s="218">
        <v>16</v>
      </c>
      <c r="AL35" s="218"/>
      <c r="AM35" s="218">
        <v>13</v>
      </c>
      <c r="AN35" s="218"/>
      <c r="AO35" s="218"/>
      <c r="AP35" s="218"/>
      <c r="AQ35" s="218">
        <v>40</v>
      </c>
      <c r="AR35" s="219"/>
      <c r="AS35" s="220">
        <v>30</v>
      </c>
      <c r="AT35" s="219">
        <v>45</v>
      </c>
      <c r="AU35" s="221">
        <f t="shared" si="0"/>
        <v>75</v>
      </c>
      <c r="AV35" s="191"/>
      <c r="AW35" s="234">
        <v>4</v>
      </c>
      <c r="AX35" s="235"/>
      <c r="AY35" s="235"/>
      <c r="AZ35" s="235"/>
      <c r="BA35" s="235"/>
      <c r="BB35" s="235"/>
      <c r="BC35" s="235">
        <v>13</v>
      </c>
      <c r="BD35" s="235"/>
      <c r="BE35" s="235">
        <v>34</v>
      </c>
      <c r="BF35" s="235">
        <v>24</v>
      </c>
      <c r="BG35" s="235"/>
      <c r="BH35" s="235">
        <v>30</v>
      </c>
      <c r="BI35" s="235">
        <v>45</v>
      </c>
      <c r="BJ35" s="236">
        <v>75</v>
      </c>
      <c r="BK35" s="234">
        <v>4</v>
      </c>
      <c r="BL35" s="235"/>
      <c r="BM35" s="235"/>
      <c r="BN35" s="235"/>
      <c r="BO35" s="235"/>
      <c r="BP35" s="235"/>
      <c r="BQ35" s="235">
        <v>13</v>
      </c>
      <c r="BR35" s="235"/>
      <c r="BS35" s="235">
        <v>34</v>
      </c>
      <c r="BT35" s="235">
        <v>24</v>
      </c>
      <c r="BU35" s="235"/>
      <c r="BV35" s="235">
        <v>30</v>
      </c>
      <c r="BW35" s="235">
        <v>45</v>
      </c>
      <c r="BX35" s="237">
        <v>75</v>
      </c>
      <c r="CA35" s="105" t="s">
        <v>955</v>
      </c>
      <c r="CB35" s="105" t="s">
        <v>1013</v>
      </c>
    </row>
    <row r="36" spans="1:80" ht="43.5" customHeight="1" x14ac:dyDescent="0.2">
      <c r="B36" s="205" t="s">
        <v>1014</v>
      </c>
      <c r="C36" s="152" t="s">
        <v>722</v>
      </c>
      <c r="D36" s="126">
        <v>5</v>
      </c>
      <c r="E36" s="157" t="s">
        <v>1002</v>
      </c>
      <c r="F36" s="128" t="s">
        <v>28</v>
      </c>
      <c r="G36" s="129"/>
      <c r="H36" s="129" t="s">
        <v>28</v>
      </c>
      <c r="I36" s="129" t="s">
        <v>28</v>
      </c>
      <c r="J36" s="129" t="s">
        <v>28</v>
      </c>
      <c r="K36" s="129"/>
      <c r="L36" s="129"/>
      <c r="M36" s="129"/>
      <c r="N36" s="129"/>
      <c r="O36" s="129" t="s">
        <v>28</v>
      </c>
      <c r="P36" s="129" t="s">
        <v>28</v>
      </c>
      <c r="Q36" s="129"/>
      <c r="R36" s="129"/>
      <c r="S36" s="129"/>
      <c r="T36" s="129"/>
      <c r="U36" s="129"/>
      <c r="V36" s="129"/>
      <c r="W36" s="129"/>
      <c r="X36" s="129"/>
      <c r="Y36" s="130"/>
      <c r="Z36" s="34"/>
      <c r="AA36" s="131" t="s">
        <v>1014</v>
      </c>
      <c r="AB36" s="125" t="s">
        <v>722</v>
      </c>
      <c r="AC36" s="126" t="s">
        <v>1002</v>
      </c>
      <c r="AD36" s="126" t="s">
        <v>309</v>
      </c>
      <c r="AE36" s="134">
        <v>5</v>
      </c>
      <c r="AF36" s="134" t="s">
        <v>992</v>
      </c>
      <c r="AG36" s="135">
        <v>53</v>
      </c>
      <c r="AH36" s="217">
        <v>1</v>
      </c>
      <c r="AI36" s="218"/>
      <c r="AJ36" s="218"/>
      <c r="AK36" s="218"/>
      <c r="AL36" s="218"/>
      <c r="AM36" s="218">
        <v>30</v>
      </c>
      <c r="AN36" s="218">
        <v>8</v>
      </c>
      <c r="AO36" s="218"/>
      <c r="AP36" s="218">
        <v>50</v>
      </c>
      <c r="AQ36" s="218"/>
      <c r="AR36" s="219">
        <v>36</v>
      </c>
      <c r="AS36" s="220">
        <v>56</v>
      </c>
      <c r="AT36" s="219">
        <v>69</v>
      </c>
      <c r="AU36" s="221">
        <f t="shared" si="0"/>
        <v>125</v>
      </c>
      <c r="AV36" s="191"/>
      <c r="AW36" s="234">
        <v>1</v>
      </c>
      <c r="AX36" s="235"/>
      <c r="AY36" s="235"/>
      <c r="AZ36" s="235">
        <v>50</v>
      </c>
      <c r="BA36" s="235"/>
      <c r="BB36" s="235"/>
      <c r="BC36" s="235">
        <v>38</v>
      </c>
      <c r="BD36" s="235"/>
      <c r="BE36" s="235"/>
      <c r="BF36" s="235"/>
      <c r="BG36" s="235">
        <v>36</v>
      </c>
      <c r="BH36" s="235">
        <v>56</v>
      </c>
      <c r="BI36" s="235">
        <v>69</v>
      </c>
      <c r="BJ36" s="236">
        <v>125</v>
      </c>
      <c r="BK36" s="234">
        <v>1</v>
      </c>
      <c r="BL36" s="235"/>
      <c r="BM36" s="235"/>
      <c r="BN36" s="235">
        <v>50</v>
      </c>
      <c r="BO36" s="235"/>
      <c r="BP36" s="235"/>
      <c r="BQ36" s="235">
        <v>38</v>
      </c>
      <c r="BR36" s="235"/>
      <c r="BS36" s="235"/>
      <c r="BT36" s="235"/>
      <c r="BU36" s="235">
        <v>36</v>
      </c>
      <c r="BV36" s="235">
        <v>56</v>
      </c>
      <c r="BW36" s="235">
        <v>69</v>
      </c>
      <c r="BX36" s="237">
        <v>125</v>
      </c>
      <c r="CA36" s="105" t="s">
        <v>956</v>
      </c>
      <c r="CB36" s="105" t="s">
        <v>1015</v>
      </c>
    </row>
    <row r="37" spans="1:80" x14ac:dyDescent="0.2">
      <c r="B37" s="205" t="s">
        <v>1016</v>
      </c>
      <c r="C37" s="152" t="s">
        <v>723</v>
      </c>
      <c r="D37" s="126">
        <v>6</v>
      </c>
      <c r="E37" s="157" t="s">
        <v>1002</v>
      </c>
      <c r="F37" s="128" t="s">
        <v>28</v>
      </c>
      <c r="G37" s="129"/>
      <c r="H37" s="129"/>
      <c r="I37" s="129"/>
      <c r="J37" s="129" t="s">
        <v>28</v>
      </c>
      <c r="K37" s="129" t="s">
        <v>28</v>
      </c>
      <c r="L37" s="129"/>
      <c r="M37" s="129"/>
      <c r="N37" s="129" t="s">
        <v>28</v>
      </c>
      <c r="O37" s="129"/>
      <c r="P37" s="129" t="s">
        <v>28</v>
      </c>
      <c r="Q37" s="129"/>
      <c r="R37" s="129"/>
      <c r="S37" s="129"/>
      <c r="T37" s="129"/>
      <c r="U37" s="129"/>
      <c r="V37" s="129"/>
      <c r="W37" s="129"/>
      <c r="X37" s="129"/>
      <c r="Y37" s="130"/>
      <c r="Z37" s="34"/>
      <c r="AA37" s="131" t="s">
        <v>1016</v>
      </c>
      <c r="AB37" s="125" t="s">
        <v>723</v>
      </c>
      <c r="AC37" s="126" t="s">
        <v>1002</v>
      </c>
      <c r="AD37" s="126" t="s">
        <v>309</v>
      </c>
      <c r="AE37" s="134">
        <v>6</v>
      </c>
      <c r="AF37" s="134" t="s">
        <v>1017</v>
      </c>
      <c r="AG37" s="135">
        <v>54</v>
      </c>
      <c r="AH37" s="217"/>
      <c r="AI37" s="218"/>
      <c r="AJ37" s="218"/>
      <c r="AK37" s="218"/>
      <c r="AL37" s="218"/>
      <c r="AM37" s="218">
        <v>18</v>
      </c>
      <c r="AN37" s="218">
        <v>4</v>
      </c>
      <c r="AO37" s="218"/>
      <c r="AP37" s="218"/>
      <c r="AQ37" s="218">
        <v>22</v>
      </c>
      <c r="AR37" s="219">
        <v>116</v>
      </c>
      <c r="AS37" s="220">
        <v>74</v>
      </c>
      <c r="AT37" s="219">
        <v>76</v>
      </c>
      <c r="AU37" s="221">
        <f t="shared" si="0"/>
        <v>150</v>
      </c>
      <c r="AV37" s="191"/>
      <c r="AW37" s="234"/>
      <c r="AX37" s="235"/>
      <c r="AY37" s="235"/>
      <c r="AZ37" s="235"/>
      <c r="BA37" s="235"/>
      <c r="BB37" s="235"/>
      <c r="BC37" s="235">
        <v>22</v>
      </c>
      <c r="BD37" s="235"/>
      <c r="BE37" s="235"/>
      <c r="BF37" s="235">
        <v>12</v>
      </c>
      <c r="BG37" s="235">
        <v>116</v>
      </c>
      <c r="BH37" s="235">
        <v>64</v>
      </c>
      <c r="BI37" s="235">
        <v>76</v>
      </c>
      <c r="BJ37" s="236">
        <v>150</v>
      </c>
      <c r="BK37" s="234"/>
      <c r="BL37" s="235"/>
      <c r="BM37" s="235"/>
      <c r="BN37" s="235"/>
      <c r="BO37" s="235"/>
      <c r="BP37" s="235"/>
      <c r="BQ37" s="235">
        <v>22</v>
      </c>
      <c r="BR37" s="235"/>
      <c r="BS37" s="235"/>
      <c r="BT37" s="235">
        <v>12</v>
      </c>
      <c r="BU37" s="235">
        <v>116</v>
      </c>
      <c r="BV37" s="235">
        <v>64</v>
      </c>
      <c r="BW37" s="235">
        <v>76</v>
      </c>
      <c r="BX37" s="237">
        <v>150</v>
      </c>
      <c r="CA37" s="105" t="s">
        <v>957</v>
      </c>
      <c r="CB37" s="105" t="s">
        <v>1018</v>
      </c>
    </row>
    <row r="38" spans="1:80" x14ac:dyDescent="0.2">
      <c r="B38" s="205" t="s">
        <v>1019</v>
      </c>
      <c r="C38" s="152" t="s">
        <v>724</v>
      </c>
      <c r="D38" s="126">
        <v>6</v>
      </c>
      <c r="E38" s="157" t="s">
        <v>1002</v>
      </c>
      <c r="F38" s="128"/>
      <c r="G38" s="129" t="s">
        <v>28</v>
      </c>
      <c r="H38" s="129" t="s">
        <v>28</v>
      </c>
      <c r="I38" s="129" t="s">
        <v>28</v>
      </c>
      <c r="J38" s="129"/>
      <c r="K38" s="129"/>
      <c r="L38" s="129"/>
      <c r="M38" s="129" t="s">
        <v>28</v>
      </c>
      <c r="N38" s="129" t="s">
        <v>28</v>
      </c>
      <c r="O38" s="129"/>
      <c r="P38" s="129"/>
      <c r="Q38" s="129"/>
      <c r="R38" s="129"/>
      <c r="S38" s="129"/>
      <c r="T38" s="129"/>
      <c r="U38" s="129"/>
      <c r="V38" s="129"/>
      <c r="W38" s="129" t="s">
        <v>28</v>
      </c>
      <c r="X38" s="129"/>
      <c r="Y38" s="130"/>
      <c r="Z38" s="34"/>
      <c r="AA38" s="131" t="s">
        <v>1019</v>
      </c>
      <c r="AB38" s="125" t="s">
        <v>724</v>
      </c>
      <c r="AC38" s="126" t="s">
        <v>1002</v>
      </c>
      <c r="AD38" s="126" t="s">
        <v>309</v>
      </c>
      <c r="AE38" s="134">
        <v>6</v>
      </c>
      <c r="AF38" s="134" t="s">
        <v>992</v>
      </c>
      <c r="AG38" s="135">
        <v>41</v>
      </c>
      <c r="AH38" s="217"/>
      <c r="AI38" s="218"/>
      <c r="AJ38" s="218"/>
      <c r="AK38" s="218">
        <v>140</v>
      </c>
      <c r="AL38" s="218"/>
      <c r="AM38" s="218"/>
      <c r="AN38" s="218"/>
      <c r="AO38" s="218"/>
      <c r="AP38" s="218"/>
      <c r="AQ38" s="218">
        <v>10</v>
      </c>
      <c r="AR38" s="219"/>
      <c r="AS38" s="220">
        <v>20</v>
      </c>
      <c r="AT38" s="219">
        <v>130</v>
      </c>
      <c r="AU38" s="221">
        <f t="shared" si="0"/>
        <v>150</v>
      </c>
      <c r="AV38" s="191"/>
      <c r="AW38" s="234">
        <v>2</v>
      </c>
      <c r="AX38" s="235"/>
      <c r="AY38" s="235">
        <v>3</v>
      </c>
      <c r="AZ38" s="235">
        <v>150</v>
      </c>
      <c r="BA38" s="235">
        <v>21</v>
      </c>
      <c r="BB38" s="235"/>
      <c r="BC38" s="235"/>
      <c r="BD38" s="235"/>
      <c r="BE38" s="235"/>
      <c r="BF38" s="235"/>
      <c r="BG38" s="235"/>
      <c r="BH38" s="235">
        <v>156</v>
      </c>
      <c r="BI38" s="235">
        <v>20</v>
      </c>
      <c r="BJ38" s="236">
        <v>176</v>
      </c>
      <c r="BK38" s="234">
        <v>2</v>
      </c>
      <c r="BL38" s="235"/>
      <c r="BM38" s="235">
        <v>3</v>
      </c>
      <c r="BN38" s="235">
        <v>150</v>
      </c>
      <c r="BO38" s="235">
        <v>21</v>
      </c>
      <c r="BP38" s="235"/>
      <c r="BQ38" s="235"/>
      <c r="BR38" s="235"/>
      <c r="BS38" s="235"/>
      <c r="BT38" s="235"/>
      <c r="BU38" s="235"/>
      <c r="BV38" s="235">
        <v>156</v>
      </c>
      <c r="BW38" s="235">
        <v>20</v>
      </c>
      <c r="BX38" s="237">
        <v>176</v>
      </c>
      <c r="CA38" s="105" t="s">
        <v>958</v>
      </c>
      <c r="CB38" s="105" t="s">
        <v>1020</v>
      </c>
    </row>
    <row r="39" spans="1:80" ht="57.75" customHeight="1" x14ac:dyDescent="0.2">
      <c r="B39" s="205" t="s">
        <v>1021</v>
      </c>
      <c r="C39" s="152" t="s">
        <v>725</v>
      </c>
      <c r="D39" s="126">
        <v>6</v>
      </c>
      <c r="E39" s="157" t="s">
        <v>1002</v>
      </c>
      <c r="F39" s="128" t="s">
        <v>28</v>
      </c>
      <c r="G39" s="129"/>
      <c r="H39" s="129"/>
      <c r="I39" s="129" t="s">
        <v>28</v>
      </c>
      <c r="J39" s="129"/>
      <c r="K39" s="129" t="s">
        <v>28</v>
      </c>
      <c r="L39" s="129"/>
      <c r="M39" s="129"/>
      <c r="N39" s="129" t="s">
        <v>28</v>
      </c>
      <c r="O39" s="129"/>
      <c r="P39" s="129" t="s">
        <v>28</v>
      </c>
      <c r="Q39" s="129"/>
      <c r="R39" s="129"/>
      <c r="S39" s="129"/>
      <c r="T39" s="129"/>
      <c r="U39" s="129"/>
      <c r="V39" s="129"/>
      <c r="W39" s="129"/>
      <c r="X39" s="129"/>
      <c r="Y39" s="130"/>
      <c r="Z39" s="34"/>
      <c r="AA39" s="131" t="s">
        <v>1021</v>
      </c>
      <c r="AB39" s="125" t="s">
        <v>725</v>
      </c>
      <c r="AC39" s="126" t="s">
        <v>1002</v>
      </c>
      <c r="AD39" s="126" t="s">
        <v>309</v>
      </c>
      <c r="AE39" s="134">
        <v>6</v>
      </c>
      <c r="AF39" s="134" t="s">
        <v>992</v>
      </c>
      <c r="AG39" s="135">
        <v>43</v>
      </c>
      <c r="AH39" s="217">
        <v>2</v>
      </c>
      <c r="AI39" s="218"/>
      <c r="AJ39" s="218"/>
      <c r="AK39" s="218"/>
      <c r="AL39" s="218"/>
      <c r="AM39" s="218">
        <v>26</v>
      </c>
      <c r="AN39" s="218"/>
      <c r="AO39" s="218"/>
      <c r="AP39" s="218">
        <v>63</v>
      </c>
      <c r="AQ39" s="218">
        <v>8</v>
      </c>
      <c r="AR39" s="219">
        <v>43</v>
      </c>
      <c r="AS39" s="220">
        <v>60</v>
      </c>
      <c r="AT39" s="219">
        <v>90</v>
      </c>
      <c r="AU39" s="221">
        <f t="shared" si="0"/>
        <v>150</v>
      </c>
      <c r="AV39" s="191"/>
      <c r="AW39" s="234">
        <v>2</v>
      </c>
      <c r="AX39" s="235"/>
      <c r="AY39" s="235"/>
      <c r="AZ39" s="235">
        <v>63</v>
      </c>
      <c r="BA39" s="235"/>
      <c r="BB39" s="235"/>
      <c r="BC39" s="235">
        <v>26</v>
      </c>
      <c r="BD39" s="235"/>
      <c r="BE39" s="235"/>
      <c r="BF39" s="235">
        <v>8</v>
      </c>
      <c r="BG39" s="235">
        <v>43</v>
      </c>
      <c r="BH39" s="235">
        <v>60</v>
      </c>
      <c r="BI39" s="235">
        <v>90</v>
      </c>
      <c r="BJ39" s="236">
        <v>150</v>
      </c>
      <c r="BK39" s="234">
        <v>2</v>
      </c>
      <c r="BL39" s="235"/>
      <c r="BM39" s="235"/>
      <c r="BN39" s="235">
        <v>63</v>
      </c>
      <c r="BO39" s="235"/>
      <c r="BP39" s="235"/>
      <c r="BQ39" s="235">
        <v>26</v>
      </c>
      <c r="BR39" s="235"/>
      <c r="BS39" s="235"/>
      <c r="BT39" s="235">
        <v>8</v>
      </c>
      <c r="BU39" s="235">
        <v>43</v>
      </c>
      <c r="BV39" s="235">
        <v>60</v>
      </c>
      <c r="BW39" s="235">
        <v>90</v>
      </c>
      <c r="BX39" s="237">
        <v>150</v>
      </c>
      <c r="CA39" s="105" t="s">
        <v>959</v>
      </c>
      <c r="CB39" s="105" t="s">
        <v>1022</v>
      </c>
    </row>
    <row r="40" spans="1:80" ht="21.75" x14ac:dyDescent="0.2">
      <c r="B40" s="205" t="s">
        <v>1023</v>
      </c>
      <c r="C40" s="152" t="s">
        <v>726</v>
      </c>
      <c r="D40" s="126">
        <v>6</v>
      </c>
      <c r="E40" s="157" t="s">
        <v>1002</v>
      </c>
      <c r="F40" s="128" t="s">
        <v>28</v>
      </c>
      <c r="G40" s="129"/>
      <c r="H40" s="129" t="s">
        <v>28</v>
      </c>
      <c r="I40" s="129" t="s">
        <v>28</v>
      </c>
      <c r="J40" s="129" t="s">
        <v>28</v>
      </c>
      <c r="K40" s="129" t="s">
        <v>28</v>
      </c>
      <c r="L40" s="129"/>
      <c r="M40" s="129"/>
      <c r="N40" s="129"/>
      <c r="O40" s="129"/>
      <c r="P40" s="129" t="s">
        <v>28</v>
      </c>
      <c r="Q40" s="129"/>
      <c r="R40" s="129"/>
      <c r="S40" s="129"/>
      <c r="T40" s="129"/>
      <c r="U40" s="129"/>
      <c r="V40" s="129"/>
      <c r="W40" s="129"/>
      <c r="X40" s="129"/>
      <c r="Y40" s="130"/>
      <c r="Z40" s="34"/>
      <c r="AA40" s="131" t="s">
        <v>1023</v>
      </c>
      <c r="AB40" s="125" t="s">
        <v>726</v>
      </c>
      <c r="AC40" s="126" t="s">
        <v>1002</v>
      </c>
      <c r="AD40" s="133" t="s">
        <v>283</v>
      </c>
      <c r="AE40" s="134">
        <v>6</v>
      </c>
      <c r="AF40" s="134" t="s">
        <v>979</v>
      </c>
      <c r="AG40" s="135">
        <v>48</v>
      </c>
      <c r="AH40" s="238">
        <v>1</v>
      </c>
      <c r="AI40" s="239"/>
      <c r="AJ40" s="239"/>
      <c r="AK40" s="239"/>
      <c r="AL40" s="239"/>
      <c r="AM40" s="239">
        <v>26</v>
      </c>
      <c r="AN40" s="239">
        <v>8</v>
      </c>
      <c r="AO40" s="239"/>
      <c r="AP40" s="239">
        <v>8</v>
      </c>
      <c r="AQ40" s="239">
        <v>12</v>
      </c>
      <c r="AR40" s="240">
        <v>95</v>
      </c>
      <c r="AS40" s="241">
        <v>60</v>
      </c>
      <c r="AT40" s="240">
        <v>90</v>
      </c>
      <c r="AU40" s="221">
        <f t="shared" si="0"/>
        <v>150</v>
      </c>
      <c r="AV40" s="191"/>
      <c r="AW40" s="234">
        <v>1</v>
      </c>
      <c r="AX40" s="235"/>
      <c r="AY40" s="235"/>
      <c r="AZ40" s="235">
        <v>8</v>
      </c>
      <c r="BA40" s="235"/>
      <c r="BB40" s="235"/>
      <c r="BC40" s="235">
        <v>34</v>
      </c>
      <c r="BD40" s="235"/>
      <c r="BE40" s="235"/>
      <c r="BF40" s="235">
        <v>12</v>
      </c>
      <c r="BG40" s="235">
        <v>95</v>
      </c>
      <c r="BH40" s="235">
        <v>60</v>
      </c>
      <c r="BI40" s="235">
        <v>90</v>
      </c>
      <c r="BJ40" s="236">
        <v>150</v>
      </c>
      <c r="BK40" s="234">
        <v>1</v>
      </c>
      <c r="BL40" s="235"/>
      <c r="BM40" s="235"/>
      <c r="BN40" s="235">
        <v>8</v>
      </c>
      <c r="BO40" s="235"/>
      <c r="BP40" s="235"/>
      <c r="BQ40" s="235">
        <v>34</v>
      </c>
      <c r="BR40" s="235"/>
      <c r="BS40" s="235"/>
      <c r="BT40" s="235">
        <v>12</v>
      </c>
      <c r="BU40" s="235">
        <v>95</v>
      </c>
      <c r="BV40" s="235">
        <v>60</v>
      </c>
      <c r="BW40" s="235">
        <v>90</v>
      </c>
      <c r="BX40" s="237">
        <v>150</v>
      </c>
      <c r="CA40" s="105" t="s">
        <v>960</v>
      </c>
      <c r="CB40" s="105" t="s">
        <v>1024</v>
      </c>
    </row>
    <row r="41" spans="1:80" ht="21.75" thickBot="1" x14ac:dyDescent="0.25">
      <c r="B41" s="206" t="s">
        <v>1025</v>
      </c>
      <c r="C41" s="161" t="s">
        <v>727</v>
      </c>
      <c r="D41" s="139">
        <v>4</v>
      </c>
      <c r="E41" s="162" t="s">
        <v>1002</v>
      </c>
      <c r="F41" s="141" t="s">
        <v>28</v>
      </c>
      <c r="G41" s="142"/>
      <c r="H41" s="142"/>
      <c r="I41" s="142" t="s">
        <v>28</v>
      </c>
      <c r="J41" s="142" t="s">
        <v>28</v>
      </c>
      <c r="K41" s="142" t="s">
        <v>28</v>
      </c>
      <c r="L41" s="142"/>
      <c r="M41" s="142"/>
      <c r="N41" s="142" t="s">
        <v>28</v>
      </c>
      <c r="O41" s="142"/>
      <c r="P41" s="142" t="s">
        <v>28</v>
      </c>
      <c r="Q41" s="142"/>
      <c r="R41" s="142"/>
      <c r="S41" s="142"/>
      <c r="T41" s="142" t="s">
        <v>28</v>
      </c>
      <c r="U41" s="142"/>
      <c r="V41" s="142"/>
      <c r="W41" s="142"/>
      <c r="X41" s="142"/>
      <c r="Y41" s="143"/>
      <c r="Z41" s="34"/>
      <c r="AA41" s="144" t="s">
        <v>1025</v>
      </c>
      <c r="AB41" s="138" t="s">
        <v>727</v>
      </c>
      <c r="AC41" s="139" t="s">
        <v>1002</v>
      </c>
      <c r="AD41" s="139" t="s">
        <v>309</v>
      </c>
      <c r="AE41" s="147">
        <v>4</v>
      </c>
      <c r="AF41" s="242" t="s">
        <v>992</v>
      </c>
      <c r="AG41" s="243">
        <v>52</v>
      </c>
      <c r="AH41" s="222">
        <v>2</v>
      </c>
      <c r="AI41" s="223"/>
      <c r="AJ41" s="223"/>
      <c r="AK41" s="223">
        <v>55</v>
      </c>
      <c r="AL41" s="223"/>
      <c r="AM41" s="223">
        <v>15</v>
      </c>
      <c r="AN41" s="223">
        <v>4</v>
      </c>
      <c r="AO41" s="223"/>
      <c r="AP41" s="223"/>
      <c r="AQ41" s="223">
        <v>8</v>
      </c>
      <c r="AR41" s="223">
        <v>16</v>
      </c>
      <c r="AS41" s="225">
        <v>40</v>
      </c>
      <c r="AT41" s="224">
        <v>60</v>
      </c>
      <c r="AU41" s="310">
        <f t="shared" si="0"/>
        <v>100</v>
      </c>
      <c r="AV41" s="191"/>
      <c r="AW41" s="244">
        <v>2</v>
      </c>
      <c r="AX41" s="245"/>
      <c r="AY41" s="245"/>
      <c r="AZ41" s="245">
        <v>55</v>
      </c>
      <c r="BA41" s="245"/>
      <c r="BB41" s="245"/>
      <c r="BC41" s="245">
        <v>19</v>
      </c>
      <c r="BD41" s="245"/>
      <c r="BE41" s="245"/>
      <c r="BF41" s="280">
        <v>8</v>
      </c>
      <c r="BG41" s="245">
        <v>16</v>
      </c>
      <c r="BH41" s="245">
        <v>40</v>
      </c>
      <c r="BI41" s="245">
        <v>60</v>
      </c>
      <c r="BJ41" s="246">
        <v>100</v>
      </c>
      <c r="BK41" s="244">
        <v>2</v>
      </c>
      <c r="BL41" s="245"/>
      <c r="BM41" s="245"/>
      <c r="BN41" s="245">
        <v>55</v>
      </c>
      <c r="BO41" s="245"/>
      <c r="BP41" s="245"/>
      <c r="BQ41" s="245">
        <v>19</v>
      </c>
      <c r="BR41" s="245"/>
      <c r="BS41" s="245"/>
      <c r="BT41" s="245">
        <v>8</v>
      </c>
      <c r="BU41" s="245">
        <v>16</v>
      </c>
      <c r="BV41" s="245">
        <v>40</v>
      </c>
      <c r="BW41" s="245">
        <v>60</v>
      </c>
      <c r="BX41" s="247">
        <v>100</v>
      </c>
    </row>
    <row r="42" spans="1:80" ht="13.5" thickBot="1" x14ac:dyDescent="0.25">
      <c r="B42" s="299"/>
      <c r="C42" s="300"/>
      <c r="D42" s="301"/>
      <c r="E42" s="301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4"/>
      <c r="AA42" s="303"/>
      <c r="AB42" s="304"/>
      <c r="AC42" s="301"/>
      <c r="AD42" s="301"/>
      <c r="AE42" s="305"/>
      <c r="AF42" s="306"/>
      <c r="AG42" s="306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227">
        <f>SUM(AS27:AS41)</f>
        <v>590</v>
      </c>
      <c r="AT42" s="227">
        <f>SUM(AT27:AT41)</f>
        <v>910</v>
      </c>
      <c r="AU42" s="229">
        <f>SUM(AU27:AU41)</f>
        <v>1500</v>
      </c>
      <c r="AV42" s="191"/>
      <c r="AW42" s="308"/>
      <c r="AX42" s="308"/>
      <c r="AY42" s="308"/>
      <c r="AZ42" s="308"/>
      <c r="BA42" s="308"/>
      <c r="BB42" s="308"/>
      <c r="BC42" s="308"/>
      <c r="BD42" s="308"/>
      <c r="BE42" s="308"/>
      <c r="BF42" s="309"/>
      <c r="BG42" s="308"/>
      <c r="BH42" s="227">
        <f>SUM(BH27:BH41)</f>
        <v>716</v>
      </c>
      <c r="BI42" s="227">
        <f>SUM(BI27:BI41)</f>
        <v>800</v>
      </c>
      <c r="BJ42" s="227">
        <f>SUM(BJ27:BJ41)</f>
        <v>1526</v>
      </c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227">
        <f>SUM(BV27:BV41)</f>
        <v>716</v>
      </c>
      <c r="BW42" s="227">
        <f>SUM(BW27:BW41)</f>
        <v>800</v>
      </c>
      <c r="BX42" s="227">
        <f>SUM(BX27:BX41)</f>
        <v>1526</v>
      </c>
    </row>
    <row r="43" spans="1:80" ht="13.5" thickBot="1" x14ac:dyDescent="0.25">
      <c r="B43" s="299"/>
      <c r="C43" s="300"/>
      <c r="D43" s="301"/>
      <c r="E43" s="301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4"/>
      <c r="AA43" s="303"/>
      <c r="AB43" s="304"/>
      <c r="AC43" s="301"/>
      <c r="AD43" s="301"/>
      <c r="AE43" s="305"/>
      <c r="AF43" s="306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228">
        <f>AS42/AU42</f>
        <v>0.39333333333333331</v>
      </c>
      <c r="AT43" s="228">
        <f>AT42/AU42</f>
        <v>0.60666666666666669</v>
      </c>
      <c r="AU43" s="228">
        <f>AU42/AU42</f>
        <v>1</v>
      </c>
      <c r="AV43" s="191"/>
      <c r="AW43" s="308"/>
      <c r="AX43" s="308"/>
      <c r="AY43" s="308"/>
      <c r="AZ43" s="308"/>
      <c r="BA43" s="308"/>
      <c r="BB43" s="308"/>
      <c r="BC43" s="308"/>
      <c r="BD43" s="308"/>
      <c r="BE43" s="308"/>
      <c r="BF43" s="309"/>
      <c r="BG43" s="308"/>
      <c r="BH43" s="228">
        <f>BH42/BJ42</f>
        <v>0.4692005242463958</v>
      </c>
      <c r="BI43" s="228">
        <f>BI42/BJ42</f>
        <v>0.52424639580602883</v>
      </c>
      <c r="BJ43" s="228">
        <f>BJ42/BJ42</f>
        <v>1</v>
      </c>
      <c r="BK43" s="193"/>
      <c r="BL43" s="193"/>
      <c r="BM43" s="193"/>
      <c r="BN43" s="193"/>
      <c r="BO43" s="193"/>
      <c r="BP43" s="193"/>
      <c r="BQ43" s="193"/>
      <c r="BR43" s="193"/>
      <c r="BS43" s="193"/>
      <c r="BT43" s="193"/>
      <c r="BU43" s="193"/>
      <c r="BV43" s="228">
        <f>BV42/BX42</f>
        <v>0.4692005242463958</v>
      </c>
      <c r="BW43" s="228">
        <f>BW42/BX42</f>
        <v>0.52424639580602883</v>
      </c>
      <c r="BX43" s="228">
        <f>BX42/BX42</f>
        <v>1</v>
      </c>
    </row>
    <row r="44" spans="1:80" ht="13.5" thickBot="1" x14ac:dyDescent="0.25">
      <c r="B44" s="199"/>
      <c r="C44" s="193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CA44" s="279" t="s">
        <v>966</v>
      </c>
      <c r="CB44" s="279" t="s">
        <v>1026</v>
      </c>
    </row>
    <row r="45" spans="1:80" ht="16.5" customHeight="1" thickBot="1" x14ac:dyDescent="0.25">
      <c r="B45" s="199"/>
      <c r="C45" s="193"/>
      <c r="D45" s="34"/>
      <c r="E45" s="34"/>
      <c r="F45" s="999" t="s">
        <v>935</v>
      </c>
      <c r="G45" s="1000"/>
      <c r="H45" s="1000"/>
      <c r="I45" s="1000"/>
      <c r="J45" s="1000"/>
      <c r="K45" s="1001"/>
      <c r="L45" s="999" t="s">
        <v>936</v>
      </c>
      <c r="M45" s="1000"/>
      <c r="N45" s="1000"/>
      <c r="O45" s="1000"/>
      <c r="P45" s="1000"/>
      <c r="Q45" s="1000"/>
      <c r="R45" s="1000"/>
      <c r="S45" s="1000"/>
      <c r="T45" s="1000"/>
      <c r="U45" s="1000"/>
      <c r="V45" s="1000"/>
      <c r="W45" s="1000"/>
      <c r="X45" s="1000"/>
      <c r="Y45" s="1001"/>
      <c r="Z45" s="34"/>
      <c r="AA45" s="191"/>
      <c r="AB45" s="191"/>
      <c r="AC45" s="191"/>
      <c r="AD45" s="191"/>
      <c r="AE45" s="191"/>
      <c r="AF45" s="191"/>
      <c r="AG45" s="191"/>
      <c r="AH45" s="999" t="s">
        <v>937</v>
      </c>
      <c r="AI45" s="1000"/>
      <c r="AJ45" s="1000"/>
      <c r="AK45" s="1000"/>
      <c r="AL45" s="1000"/>
      <c r="AM45" s="1000"/>
      <c r="AN45" s="1000"/>
      <c r="AO45" s="1000"/>
      <c r="AP45" s="1000"/>
      <c r="AQ45" s="1000"/>
      <c r="AR45" s="1000"/>
      <c r="AS45" s="1000"/>
      <c r="AT45" s="1000"/>
      <c r="AU45" s="1001"/>
      <c r="AV45" s="191"/>
      <c r="AW45" s="999" t="s">
        <v>937</v>
      </c>
      <c r="AX45" s="1000"/>
      <c r="AY45" s="1000"/>
      <c r="AZ45" s="1000"/>
      <c r="BA45" s="1000"/>
      <c r="BB45" s="1000"/>
      <c r="BC45" s="1000"/>
      <c r="BD45" s="1000"/>
      <c r="BE45" s="1000"/>
      <c r="BF45" s="1000"/>
      <c r="BG45" s="1000"/>
      <c r="BH45" s="1000"/>
      <c r="BI45" s="1000"/>
      <c r="BJ45" s="1001"/>
      <c r="BK45" s="999" t="s">
        <v>937</v>
      </c>
      <c r="BL45" s="1000"/>
      <c r="BM45" s="1000"/>
      <c r="BN45" s="1000"/>
      <c r="BO45" s="1000"/>
      <c r="BP45" s="1000"/>
      <c r="BQ45" s="1000"/>
      <c r="BR45" s="1000"/>
      <c r="BS45" s="1000"/>
      <c r="BT45" s="1000"/>
      <c r="BU45" s="1000"/>
      <c r="BV45" s="1000"/>
      <c r="BW45" s="1000"/>
      <c r="BX45" s="1001"/>
      <c r="CA45" s="279" t="s">
        <v>967</v>
      </c>
      <c r="CB45" s="279" t="s">
        <v>1027</v>
      </c>
    </row>
    <row r="46" spans="1:80" s="192" customFormat="1" ht="42.75" thickBot="1" x14ac:dyDescent="0.3">
      <c r="B46" s="194" t="s">
        <v>938</v>
      </c>
      <c r="C46" s="194" t="s">
        <v>272</v>
      </c>
      <c r="D46" s="194" t="s">
        <v>1049</v>
      </c>
      <c r="E46" s="194" t="s">
        <v>273</v>
      </c>
      <c r="F46" s="267" t="s">
        <v>941</v>
      </c>
      <c r="G46" s="267" t="s">
        <v>942</v>
      </c>
      <c r="H46" s="267" t="s">
        <v>943</v>
      </c>
      <c r="I46" s="267" t="s">
        <v>944</v>
      </c>
      <c r="J46" s="267" t="s">
        <v>945</v>
      </c>
      <c r="K46" s="268" t="s">
        <v>946</v>
      </c>
      <c r="L46" s="269" t="s">
        <v>947</v>
      </c>
      <c r="M46" s="267" t="s">
        <v>948</v>
      </c>
      <c r="N46" s="267" t="s">
        <v>949</v>
      </c>
      <c r="O46" s="267" t="s">
        <v>950</v>
      </c>
      <c r="P46" s="267" t="s">
        <v>951</v>
      </c>
      <c r="Q46" s="267" t="s">
        <v>952</v>
      </c>
      <c r="R46" s="267" t="s">
        <v>953</v>
      </c>
      <c r="S46" s="267" t="s">
        <v>954</v>
      </c>
      <c r="T46" s="267" t="s">
        <v>955</v>
      </c>
      <c r="U46" s="268" t="s">
        <v>956</v>
      </c>
      <c r="V46" s="268" t="s">
        <v>957</v>
      </c>
      <c r="W46" s="268" t="s">
        <v>958</v>
      </c>
      <c r="X46" s="268" t="s">
        <v>959</v>
      </c>
      <c r="Y46" s="268" t="s">
        <v>960</v>
      </c>
      <c r="Z46" s="193"/>
      <c r="AA46" s="195" t="s">
        <v>938</v>
      </c>
      <c r="AB46" s="195" t="s">
        <v>272</v>
      </c>
      <c r="AC46" s="195" t="s">
        <v>273</v>
      </c>
      <c r="AD46" s="195" t="s">
        <v>274</v>
      </c>
      <c r="AE46" s="195" t="s">
        <v>1049</v>
      </c>
      <c r="AF46" s="195" t="s">
        <v>961</v>
      </c>
      <c r="AG46" s="266" t="s">
        <v>962</v>
      </c>
      <c r="AH46" s="270" t="s">
        <v>963</v>
      </c>
      <c r="AI46" s="270" t="s">
        <v>964</v>
      </c>
      <c r="AJ46" s="270" t="s">
        <v>965</v>
      </c>
      <c r="AK46" s="270" t="s">
        <v>966</v>
      </c>
      <c r="AL46" s="270" t="s">
        <v>967</v>
      </c>
      <c r="AM46" s="270" t="s">
        <v>968</v>
      </c>
      <c r="AN46" s="270" t="s">
        <v>969</v>
      </c>
      <c r="AO46" s="270" t="s">
        <v>970</v>
      </c>
      <c r="AP46" s="270" t="s">
        <v>971</v>
      </c>
      <c r="AQ46" s="270" t="s">
        <v>972</v>
      </c>
      <c r="AR46" s="271" t="s">
        <v>973</v>
      </c>
      <c r="AS46" s="111" t="s">
        <v>974</v>
      </c>
      <c r="AT46" s="111" t="s">
        <v>975</v>
      </c>
      <c r="AU46" s="111" t="s">
        <v>976</v>
      </c>
      <c r="AV46" s="193"/>
      <c r="AW46" s="267" t="s">
        <v>963</v>
      </c>
      <c r="AX46" s="267" t="s">
        <v>964</v>
      </c>
      <c r="AY46" s="267" t="s">
        <v>965</v>
      </c>
      <c r="AZ46" s="267" t="s">
        <v>966</v>
      </c>
      <c r="BA46" s="267" t="s">
        <v>967</v>
      </c>
      <c r="BB46" s="267" t="s">
        <v>968</v>
      </c>
      <c r="BC46" s="267" t="s">
        <v>969</v>
      </c>
      <c r="BD46" s="267" t="s">
        <v>970</v>
      </c>
      <c r="BE46" s="267" t="s">
        <v>971</v>
      </c>
      <c r="BF46" s="267" t="s">
        <v>972</v>
      </c>
      <c r="BG46" s="268" t="s">
        <v>973</v>
      </c>
      <c r="BH46" s="111" t="s">
        <v>974</v>
      </c>
      <c r="BI46" s="111" t="s">
        <v>975</v>
      </c>
      <c r="BJ46" s="111" t="s">
        <v>976</v>
      </c>
      <c r="BK46" s="267" t="s">
        <v>963</v>
      </c>
      <c r="BL46" s="267" t="s">
        <v>964</v>
      </c>
      <c r="BM46" s="267" t="s">
        <v>965</v>
      </c>
      <c r="BN46" s="267" t="s">
        <v>966</v>
      </c>
      <c r="BO46" s="267" t="s">
        <v>967</v>
      </c>
      <c r="BP46" s="267" t="s">
        <v>968</v>
      </c>
      <c r="BQ46" s="267" t="s">
        <v>969</v>
      </c>
      <c r="BR46" s="267" t="s">
        <v>970</v>
      </c>
      <c r="BS46" s="267" t="s">
        <v>971</v>
      </c>
      <c r="BT46" s="267" t="s">
        <v>972</v>
      </c>
      <c r="BU46" s="268" t="s">
        <v>973</v>
      </c>
      <c r="BV46" s="111" t="s">
        <v>974</v>
      </c>
      <c r="BW46" s="111" t="s">
        <v>975</v>
      </c>
      <c r="BX46" s="111" t="s">
        <v>976</v>
      </c>
      <c r="CA46" s="281" t="s">
        <v>968</v>
      </c>
      <c r="CB46" s="281" t="s">
        <v>1028</v>
      </c>
    </row>
    <row r="47" spans="1:80" s="107" customFormat="1" ht="33" customHeight="1" x14ac:dyDescent="0.2">
      <c r="A47" s="22"/>
      <c r="B47" s="208">
        <v>37204111</v>
      </c>
      <c r="C47" s="112" t="s">
        <v>728</v>
      </c>
      <c r="D47" s="113">
        <v>3</v>
      </c>
      <c r="E47" s="170" t="s">
        <v>1029</v>
      </c>
      <c r="F47" s="115" t="s">
        <v>28</v>
      </c>
      <c r="G47" s="116" t="s">
        <v>28</v>
      </c>
      <c r="H47" s="116"/>
      <c r="I47" s="116" t="s">
        <v>28</v>
      </c>
      <c r="J47" s="116"/>
      <c r="K47" s="116" t="s">
        <v>28</v>
      </c>
      <c r="L47" s="116"/>
      <c r="M47" s="116"/>
      <c r="N47" s="116" t="s">
        <v>28</v>
      </c>
      <c r="O47" s="116"/>
      <c r="P47" s="116" t="s">
        <v>28</v>
      </c>
      <c r="Q47" s="116"/>
      <c r="R47" s="116"/>
      <c r="S47" s="116"/>
      <c r="T47" s="116" t="s">
        <v>28</v>
      </c>
      <c r="U47" s="116"/>
      <c r="V47" s="116"/>
      <c r="W47" s="116"/>
      <c r="X47" s="116"/>
      <c r="Y47" s="117"/>
      <c r="Z47" s="171"/>
      <c r="AA47" s="169">
        <v>37204111</v>
      </c>
      <c r="AB47" s="112" t="s">
        <v>728</v>
      </c>
      <c r="AC47" s="172" t="s">
        <v>1029</v>
      </c>
      <c r="AD47" s="113" t="s">
        <v>309</v>
      </c>
      <c r="AE47" s="113">
        <v>3</v>
      </c>
      <c r="AF47" s="173" t="s">
        <v>1017</v>
      </c>
      <c r="AG47" s="174">
        <v>51</v>
      </c>
      <c r="AH47" s="248"/>
      <c r="AI47" s="249"/>
      <c r="AJ47" s="249"/>
      <c r="AK47" s="249">
        <v>28</v>
      </c>
      <c r="AL47" s="249"/>
      <c r="AM47" s="249"/>
      <c r="AN47" s="249">
        <v>2</v>
      </c>
      <c r="AO47" s="249"/>
      <c r="AP47" s="249">
        <v>4</v>
      </c>
      <c r="AQ47" s="249">
        <v>9</v>
      </c>
      <c r="AR47" s="250">
        <v>32</v>
      </c>
      <c r="AS47" s="248">
        <v>30</v>
      </c>
      <c r="AT47" s="251">
        <v>45</v>
      </c>
      <c r="AU47" s="250">
        <f t="shared" ref="AU47:AU59" si="1">AS47+AT47</f>
        <v>75</v>
      </c>
      <c r="AV47" s="193"/>
      <c r="AW47" s="230"/>
      <c r="AX47" s="231"/>
      <c r="AY47" s="231"/>
      <c r="AZ47" s="231">
        <v>28</v>
      </c>
      <c r="BA47" s="231"/>
      <c r="BB47" s="231"/>
      <c r="BC47" s="231">
        <v>2</v>
      </c>
      <c r="BD47" s="231">
        <v>2</v>
      </c>
      <c r="BE47" s="231">
        <v>5</v>
      </c>
      <c r="BF47" s="231">
        <v>4</v>
      </c>
      <c r="BG47" s="231">
        <v>34</v>
      </c>
      <c r="BH47" s="231">
        <v>32</v>
      </c>
      <c r="BI47" s="231">
        <v>43</v>
      </c>
      <c r="BJ47" s="232">
        <v>75</v>
      </c>
      <c r="BK47" s="230"/>
      <c r="BL47" s="231"/>
      <c r="BM47" s="231"/>
      <c r="BN47" s="231">
        <v>28</v>
      </c>
      <c r="BO47" s="231"/>
      <c r="BP47" s="231"/>
      <c r="BQ47" s="231">
        <v>2</v>
      </c>
      <c r="BR47" s="231">
        <v>2</v>
      </c>
      <c r="BS47" s="231">
        <v>5</v>
      </c>
      <c r="BT47" s="231">
        <v>4</v>
      </c>
      <c r="BU47" s="231">
        <v>34</v>
      </c>
      <c r="BV47" s="231">
        <v>32</v>
      </c>
      <c r="BW47" s="231">
        <v>43</v>
      </c>
      <c r="BX47" s="233">
        <v>75</v>
      </c>
      <c r="BY47" s="22"/>
      <c r="BZ47" s="22"/>
      <c r="CA47" s="279" t="s">
        <v>969</v>
      </c>
      <c r="CB47" s="279" t="s">
        <v>1030</v>
      </c>
    </row>
    <row r="48" spans="1:80" s="107" customFormat="1" ht="45" customHeight="1" x14ac:dyDescent="0.2">
      <c r="A48" s="22"/>
      <c r="B48" s="205">
        <v>37204120</v>
      </c>
      <c r="C48" s="125" t="s">
        <v>729</v>
      </c>
      <c r="D48" s="126">
        <v>7</v>
      </c>
      <c r="E48" s="176" t="s">
        <v>1029</v>
      </c>
      <c r="F48" s="128" t="s">
        <v>28</v>
      </c>
      <c r="G48" s="129"/>
      <c r="H48" s="129"/>
      <c r="I48" s="129" t="s">
        <v>28</v>
      </c>
      <c r="J48" s="129" t="s">
        <v>28</v>
      </c>
      <c r="K48" s="129"/>
      <c r="L48" s="129"/>
      <c r="M48" s="129"/>
      <c r="N48" s="129"/>
      <c r="O48" s="129"/>
      <c r="P48" s="129" t="s">
        <v>28</v>
      </c>
      <c r="Q48" s="129"/>
      <c r="R48" s="129"/>
      <c r="S48" s="129"/>
      <c r="T48" s="129"/>
      <c r="U48" s="129"/>
      <c r="V48" s="129"/>
      <c r="W48" s="129"/>
      <c r="X48" s="129"/>
      <c r="Y48" s="130"/>
      <c r="Z48" s="171"/>
      <c r="AA48" s="175">
        <v>37204120</v>
      </c>
      <c r="AB48" s="125" t="s">
        <v>729</v>
      </c>
      <c r="AC48" s="177" t="s">
        <v>1029</v>
      </c>
      <c r="AD48" s="126" t="s">
        <v>309</v>
      </c>
      <c r="AE48" s="126">
        <v>7</v>
      </c>
      <c r="AF48" s="178" t="s">
        <v>1017</v>
      </c>
      <c r="AG48" s="179">
        <v>38</v>
      </c>
      <c r="AH48" s="252">
        <v>3</v>
      </c>
      <c r="AI48" s="33"/>
      <c r="AJ48" s="33"/>
      <c r="AK48" s="33">
        <v>100</v>
      </c>
      <c r="AL48" s="33"/>
      <c r="AM48" s="33">
        <v>7</v>
      </c>
      <c r="AN48" s="33">
        <v>20</v>
      </c>
      <c r="AO48" s="33"/>
      <c r="AP48" s="33"/>
      <c r="AQ48" s="33"/>
      <c r="AR48" s="253">
        <v>45</v>
      </c>
      <c r="AS48" s="252">
        <v>70</v>
      </c>
      <c r="AT48" s="254">
        <v>105</v>
      </c>
      <c r="AU48" s="253">
        <f t="shared" si="1"/>
        <v>175</v>
      </c>
      <c r="AV48" s="193"/>
      <c r="AW48" s="234">
        <v>3</v>
      </c>
      <c r="AX48" s="235"/>
      <c r="AY48" s="235"/>
      <c r="AZ48" s="235">
        <v>100</v>
      </c>
      <c r="BA48" s="235"/>
      <c r="BB48" s="235"/>
      <c r="BC48" s="235">
        <v>27</v>
      </c>
      <c r="BD48" s="235"/>
      <c r="BE48" s="235"/>
      <c r="BF48" s="235"/>
      <c r="BG48" s="235">
        <v>45</v>
      </c>
      <c r="BH48" s="235">
        <v>70</v>
      </c>
      <c r="BI48" s="235">
        <v>105</v>
      </c>
      <c r="BJ48" s="236">
        <v>175</v>
      </c>
      <c r="BK48" s="234">
        <v>3</v>
      </c>
      <c r="BL48" s="235"/>
      <c r="BM48" s="235"/>
      <c r="BN48" s="235">
        <v>100</v>
      </c>
      <c r="BO48" s="235"/>
      <c r="BP48" s="235"/>
      <c r="BQ48" s="235">
        <v>27</v>
      </c>
      <c r="BR48" s="235"/>
      <c r="BS48" s="235"/>
      <c r="BT48" s="235"/>
      <c r="BU48" s="235">
        <v>45</v>
      </c>
      <c r="BV48" s="235">
        <v>70</v>
      </c>
      <c r="BW48" s="235">
        <v>105</v>
      </c>
      <c r="BX48" s="237">
        <v>175</v>
      </c>
      <c r="BY48" s="22"/>
      <c r="BZ48" s="22"/>
      <c r="CA48" s="279" t="s">
        <v>970</v>
      </c>
      <c r="CB48" s="279" t="s">
        <v>1031</v>
      </c>
    </row>
    <row r="49" spans="1:80" s="107" customFormat="1" ht="21" x14ac:dyDescent="0.2">
      <c r="A49" s="22"/>
      <c r="B49" s="205">
        <v>37204105</v>
      </c>
      <c r="C49" s="125" t="s">
        <v>730</v>
      </c>
      <c r="D49" s="126">
        <v>3</v>
      </c>
      <c r="E49" s="176" t="s">
        <v>1029</v>
      </c>
      <c r="F49" s="128" t="s">
        <v>28</v>
      </c>
      <c r="G49" s="129"/>
      <c r="H49" s="129"/>
      <c r="I49" s="129" t="s">
        <v>28</v>
      </c>
      <c r="J49" s="129" t="s">
        <v>28</v>
      </c>
      <c r="K49" s="129"/>
      <c r="L49" s="129"/>
      <c r="M49" s="129" t="s">
        <v>28</v>
      </c>
      <c r="N49" s="129" t="s">
        <v>28</v>
      </c>
      <c r="O49" s="129"/>
      <c r="P49" s="129" t="s">
        <v>28</v>
      </c>
      <c r="Q49" s="129"/>
      <c r="R49" s="129"/>
      <c r="S49" s="129"/>
      <c r="T49" s="129"/>
      <c r="U49" s="129"/>
      <c r="V49" s="129"/>
      <c r="W49" s="129"/>
      <c r="X49" s="129"/>
      <c r="Y49" s="130"/>
      <c r="Z49" s="171"/>
      <c r="AA49" s="175">
        <v>37204105</v>
      </c>
      <c r="AB49" s="125" t="s">
        <v>730</v>
      </c>
      <c r="AC49" s="177" t="s">
        <v>1029</v>
      </c>
      <c r="AD49" s="126" t="s">
        <v>309</v>
      </c>
      <c r="AE49" s="126">
        <v>3</v>
      </c>
      <c r="AF49" s="178" t="s">
        <v>1017</v>
      </c>
      <c r="AG49" s="179">
        <v>40</v>
      </c>
      <c r="AH49" s="252">
        <v>1</v>
      </c>
      <c r="AI49" s="33"/>
      <c r="AJ49" s="33"/>
      <c r="AK49" s="33">
        <v>6</v>
      </c>
      <c r="AL49" s="33"/>
      <c r="AM49" s="33"/>
      <c r="AN49" s="33">
        <v>2</v>
      </c>
      <c r="AO49" s="33"/>
      <c r="AP49" s="33"/>
      <c r="AQ49" s="33">
        <v>14</v>
      </c>
      <c r="AR49" s="253">
        <v>52</v>
      </c>
      <c r="AS49" s="252">
        <v>30</v>
      </c>
      <c r="AT49" s="254">
        <v>45</v>
      </c>
      <c r="AU49" s="253">
        <f t="shared" si="1"/>
        <v>75</v>
      </c>
      <c r="AV49" s="193"/>
      <c r="AW49" s="234">
        <v>1</v>
      </c>
      <c r="AX49" s="235"/>
      <c r="AY49" s="235"/>
      <c r="AZ49" s="235">
        <v>6</v>
      </c>
      <c r="BA49" s="235"/>
      <c r="BB49" s="235"/>
      <c r="BC49" s="235">
        <v>2</v>
      </c>
      <c r="BD49" s="235"/>
      <c r="BE49" s="235">
        <v>17</v>
      </c>
      <c r="BF49" s="235"/>
      <c r="BG49" s="235">
        <v>52</v>
      </c>
      <c r="BH49" s="235">
        <v>30</v>
      </c>
      <c r="BI49" s="235">
        <v>45</v>
      </c>
      <c r="BJ49" s="236">
        <v>75</v>
      </c>
      <c r="BK49" s="234">
        <v>1</v>
      </c>
      <c r="BL49" s="235"/>
      <c r="BM49" s="235"/>
      <c r="BN49" s="235">
        <v>6</v>
      </c>
      <c r="BO49" s="235"/>
      <c r="BP49" s="235"/>
      <c r="BQ49" s="235">
        <v>2</v>
      </c>
      <c r="BR49" s="235"/>
      <c r="BS49" s="235">
        <v>17</v>
      </c>
      <c r="BT49" s="235"/>
      <c r="BU49" s="235">
        <v>52</v>
      </c>
      <c r="BV49" s="235">
        <v>30</v>
      </c>
      <c r="BW49" s="235">
        <v>45</v>
      </c>
      <c r="BX49" s="237">
        <v>75</v>
      </c>
      <c r="BY49" s="22"/>
      <c r="BZ49" s="22"/>
      <c r="CA49" s="279" t="s">
        <v>971</v>
      </c>
      <c r="CB49" s="279" t="s">
        <v>1032</v>
      </c>
    </row>
    <row r="50" spans="1:80" s="107" customFormat="1" x14ac:dyDescent="0.2">
      <c r="A50" s="22"/>
      <c r="B50" s="205">
        <v>37204113</v>
      </c>
      <c r="C50" s="125" t="s">
        <v>731</v>
      </c>
      <c r="D50" s="126">
        <v>4</v>
      </c>
      <c r="E50" s="176" t="s">
        <v>1029</v>
      </c>
      <c r="F50" s="128"/>
      <c r="G50" s="129"/>
      <c r="H50" s="129"/>
      <c r="I50" s="129" t="s">
        <v>28</v>
      </c>
      <c r="J50" s="129" t="s">
        <v>28</v>
      </c>
      <c r="K50" s="129" t="s">
        <v>28</v>
      </c>
      <c r="L50" s="129" t="s">
        <v>28</v>
      </c>
      <c r="M50" s="129"/>
      <c r="N50" s="129" t="s">
        <v>28</v>
      </c>
      <c r="O50" s="129"/>
      <c r="P50" s="129"/>
      <c r="Q50" s="129"/>
      <c r="R50" s="129"/>
      <c r="S50" s="129"/>
      <c r="T50" s="129" t="s">
        <v>28</v>
      </c>
      <c r="U50" s="129"/>
      <c r="V50" s="129"/>
      <c r="W50" s="129"/>
      <c r="X50" s="129" t="s">
        <v>28</v>
      </c>
      <c r="Y50" s="130"/>
      <c r="Z50" s="171"/>
      <c r="AA50" s="175">
        <v>37204113</v>
      </c>
      <c r="AB50" s="125" t="s">
        <v>731</v>
      </c>
      <c r="AC50" s="177" t="s">
        <v>1029</v>
      </c>
      <c r="AD50" s="126" t="s">
        <v>309</v>
      </c>
      <c r="AE50" s="126">
        <v>4</v>
      </c>
      <c r="AF50" s="178" t="s">
        <v>1017</v>
      </c>
      <c r="AG50" s="179">
        <v>38</v>
      </c>
      <c r="AH50" s="252">
        <v>6</v>
      </c>
      <c r="AI50" s="33"/>
      <c r="AJ50" s="33"/>
      <c r="AK50" s="33"/>
      <c r="AL50" s="33">
        <v>16</v>
      </c>
      <c r="AM50" s="33"/>
      <c r="AN50" s="33">
        <v>16</v>
      </c>
      <c r="AO50" s="33"/>
      <c r="AP50" s="33"/>
      <c r="AQ50" s="33">
        <v>40</v>
      </c>
      <c r="AR50" s="253"/>
      <c r="AS50" s="252">
        <v>30</v>
      </c>
      <c r="AT50" s="254">
        <v>45</v>
      </c>
      <c r="AU50" s="253">
        <f t="shared" si="1"/>
        <v>75</v>
      </c>
      <c r="AV50" s="193"/>
      <c r="AW50" s="234">
        <v>6</v>
      </c>
      <c r="AX50" s="235"/>
      <c r="AY50" s="235"/>
      <c r="AZ50" s="235"/>
      <c r="BA50" s="235"/>
      <c r="BB50" s="235"/>
      <c r="BC50" s="235">
        <v>13</v>
      </c>
      <c r="BD50" s="235"/>
      <c r="BE50" s="235">
        <v>16</v>
      </c>
      <c r="BF50" s="235">
        <v>40</v>
      </c>
      <c r="BG50" s="235"/>
      <c r="BH50" s="235">
        <v>30</v>
      </c>
      <c r="BI50" s="235">
        <v>45</v>
      </c>
      <c r="BJ50" s="236">
        <v>75</v>
      </c>
      <c r="BK50" s="234">
        <v>6</v>
      </c>
      <c r="BL50" s="235"/>
      <c r="BM50" s="235"/>
      <c r="BN50" s="235"/>
      <c r="BO50" s="235"/>
      <c r="BP50" s="235"/>
      <c r="BQ50" s="235">
        <v>13</v>
      </c>
      <c r="BR50" s="235"/>
      <c r="BS50" s="235">
        <v>16</v>
      </c>
      <c r="BT50" s="235">
        <v>40</v>
      </c>
      <c r="BU50" s="235"/>
      <c r="BV50" s="235">
        <v>30</v>
      </c>
      <c r="BW50" s="235">
        <v>45</v>
      </c>
      <c r="BX50" s="237">
        <v>75</v>
      </c>
      <c r="BY50" s="22"/>
      <c r="BZ50" s="22"/>
      <c r="CA50" s="279" t="s">
        <v>972</v>
      </c>
      <c r="CB50" s="279" t="s">
        <v>997</v>
      </c>
    </row>
    <row r="51" spans="1:80" s="107" customFormat="1" ht="47.25" customHeight="1" x14ac:dyDescent="0.2">
      <c r="A51" s="22"/>
      <c r="B51" s="205">
        <v>37204121</v>
      </c>
      <c r="C51" s="125" t="s">
        <v>732</v>
      </c>
      <c r="D51" s="126">
        <v>6</v>
      </c>
      <c r="E51" s="176" t="s">
        <v>1029</v>
      </c>
      <c r="F51" s="128" t="s">
        <v>28</v>
      </c>
      <c r="G51" s="129"/>
      <c r="H51" s="129"/>
      <c r="I51" s="129" t="s">
        <v>28</v>
      </c>
      <c r="J51" s="129"/>
      <c r="K51" s="129" t="s">
        <v>28</v>
      </c>
      <c r="L51" s="129"/>
      <c r="M51" s="129"/>
      <c r="N51" s="129" t="s">
        <v>28</v>
      </c>
      <c r="O51" s="129"/>
      <c r="P51" s="129" t="s">
        <v>28</v>
      </c>
      <c r="Q51" s="129"/>
      <c r="R51" s="129"/>
      <c r="S51" s="129"/>
      <c r="T51" s="129"/>
      <c r="U51" s="129"/>
      <c r="V51" s="129"/>
      <c r="W51" s="129"/>
      <c r="X51" s="129"/>
      <c r="Y51" s="130"/>
      <c r="Z51" s="171"/>
      <c r="AA51" s="175">
        <v>37204121</v>
      </c>
      <c r="AB51" s="125" t="s">
        <v>732</v>
      </c>
      <c r="AC51" s="177" t="s">
        <v>1029</v>
      </c>
      <c r="AD51" s="126" t="s">
        <v>309</v>
      </c>
      <c r="AE51" s="126">
        <v>6</v>
      </c>
      <c r="AF51" s="178" t="s">
        <v>1017</v>
      </c>
      <c r="AG51" s="179">
        <v>40</v>
      </c>
      <c r="AH51" s="252"/>
      <c r="AI51" s="33"/>
      <c r="AJ51" s="33"/>
      <c r="AK51" s="33">
        <v>44</v>
      </c>
      <c r="AL51" s="33"/>
      <c r="AM51" s="33"/>
      <c r="AN51" s="33">
        <v>66</v>
      </c>
      <c r="AO51" s="33"/>
      <c r="AP51" s="33"/>
      <c r="AQ51" s="33"/>
      <c r="AR51" s="253">
        <v>40</v>
      </c>
      <c r="AS51" s="252">
        <v>60</v>
      </c>
      <c r="AT51" s="254">
        <v>90</v>
      </c>
      <c r="AU51" s="253">
        <f t="shared" si="1"/>
        <v>150</v>
      </c>
      <c r="AV51" s="193"/>
      <c r="AW51" s="234"/>
      <c r="AX51" s="235"/>
      <c r="AY51" s="235"/>
      <c r="AZ51" s="235">
        <v>44</v>
      </c>
      <c r="BA51" s="235"/>
      <c r="BB51" s="235"/>
      <c r="BC51" s="235">
        <v>66</v>
      </c>
      <c r="BD51" s="235"/>
      <c r="BE51" s="235"/>
      <c r="BF51" s="235"/>
      <c r="BG51" s="235">
        <v>40</v>
      </c>
      <c r="BH51" s="235">
        <v>60</v>
      </c>
      <c r="BI51" s="235">
        <v>90</v>
      </c>
      <c r="BJ51" s="236">
        <v>150</v>
      </c>
      <c r="BK51" s="234"/>
      <c r="BL51" s="235"/>
      <c r="BM51" s="235"/>
      <c r="BN51" s="235">
        <v>44</v>
      </c>
      <c r="BO51" s="235"/>
      <c r="BP51" s="235"/>
      <c r="BQ51" s="235">
        <v>66</v>
      </c>
      <c r="BR51" s="235"/>
      <c r="BS51" s="235"/>
      <c r="BT51" s="235"/>
      <c r="BU51" s="235">
        <v>40</v>
      </c>
      <c r="BV51" s="235">
        <v>60</v>
      </c>
      <c r="BW51" s="235">
        <v>90</v>
      </c>
      <c r="BX51" s="237">
        <v>150</v>
      </c>
      <c r="BY51" s="22"/>
      <c r="BZ51" s="22"/>
      <c r="CA51" s="279" t="s">
        <v>973</v>
      </c>
      <c r="CB51" s="279" t="s">
        <v>1033</v>
      </c>
    </row>
    <row r="52" spans="1:80" s="107" customFormat="1" x14ac:dyDescent="0.2">
      <c r="A52" s="22"/>
      <c r="B52" s="205">
        <v>37204106</v>
      </c>
      <c r="C52" s="125" t="s">
        <v>733</v>
      </c>
      <c r="D52" s="126">
        <v>3</v>
      </c>
      <c r="E52" s="176" t="s">
        <v>1029</v>
      </c>
      <c r="F52" s="128" t="s">
        <v>28</v>
      </c>
      <c r="G52" s="129"/>
      <c r="H52" s="129"/>
      <c r="I52" s="129"/>
      <c r="J52" s="129" t="s">
        <v>28</v>
      </c>
      <c r="K52" s="129"/>
      <c r="L52" s="129"/>
      <c r="M52" s="129"/>
      <c r="N52" s="129" t="s">
        <v>28</v>
      </c>
      <c r="O52" s="129"/>
      <c r="P52" s="129" t="s">
        <v>28</v>
      </c>
      <c r="Q52" s="129"/>
      <c r="R52" s="129"/>
      <c r="S52" s="129"/>
      <c r="T52" s="129"/>
      <c r="U52" s="129"/>
      <c r="V52" s="129"/>
      <c r="W52" s="129"/>
      <c r="X52" s="129"/>
      <c r="Y52" s="130"/>
      <c r="Z52" s="171"/>
      <c r="AA52" s="175">
        <v>37204106</v>
      </c>
      <c r="AB52" s="125" t="s">
        <v>733</v>
      </c>
      <c r="AC52" s="177" t="s">
        <v>1029</v>
      </c>
      <c r="AD52" s="126" t="s">
        <v>309</v>
      </c>
      <c r="AE52" s="126">
        <v>3</v>
      </c>
      <c r="AF52" s="178" t="s">
        <v>1017</v>
      </c>
      <c r="AG52" s="179">
        <v>39</v>
      </c>
      <c r="AH52" s="252"/>
      <c r="AI52" s="33"/>
      <c r="AJ52" s="33"/>
      <c r="AK52" s="33"/>
      <c r="AL52" s="33"/>
      <c r="AM52" s="33"/>
      <c r="AN52" s="33">
        <v>9</v>
      </c>
      <c r="AO52" s="33"/>
      <c r="AP52" s="33"/>
      <c r="AQ52" s="33">
        <v>12</v>
      </c>
      <c r="AR52" s="253">
        <v>54</v>
      </c>
      <c r="AS52" s="252">
        <v>30</v>
      </c>
      <c r="AT52" s="254">
        <v>45</v>
      </c>
      <c r="AU52" s="253">
        <f t="shared" si="1"/>
        <v>75</v>
      </c>
      <c r="AV52" s="193"/>
      <c r="AW52" s="234"/>
      <c r="AX52" s="235"/>
      <c r="AY52" s="235"/>
      <c r="AZ52" s="235"/>
      <c r="BA52" s="235"/>
      <c r="BB52" s="235"/>
      <c r="BC52" s="235">
        <v>9</v>
      </c>
      <c r="BD52" s="235"/>
      <c r="BE52" s="235"/>
      <c r="BF52" s="235">
        <v>12</v>
      </c>
      <c r="BG52" s="235">
        <v>54</v>
      </c>
      <c r="BH52" s="235">
        <v>30</v>
      </c>
      <c r="BI52" s="235">
        <v>45</v>
      </c>
      <c r="BJ52" s="236">
        <v>75</v>
      </c>
      <c r="BK52" s="234"/>
      <c r="BL52" s="235"/>
      <c r="BM52" s="235"/>
      <c r="BN52" s="235"/>
      <c r="BO52" s="235"/>
      <c r="BP52" s="235"/>
      <c r="BQ52" s="235">
        <v>9</v>
      </c>
      <c r="BR52" s="235"/>
      <c r="BS52" s="235"/>
      <c r="BT52" s="235">
        <v>12</v>
      </c>
      <c r="BU52" s="235">
        <v>54</v>
      </c>
      <c r="BV52" s="235">
        <v>30</v>
      </c>
      <c r="BW52" s="235">
        <v>45</v>
      </c>
      <c r="BX52" s="237">
        <v>75</v>
      </c>
      <c r="BY52" s="22"/>
      <c r="BZ52" s="22"/>
    </row>
    <row r="53" spans="1:80" s="107" customFormat="1" x14ac:dyDescent="0.2">
      <c r="A53" s="22"/>
      <c r="B53" s="205">
        <v>37204104</v>
      </c>
      <c r="C53" s="125" t="s">
        <v>734</v>
      </c>
      <c r="D53" s="126">
        <v>5</v>
      </c>
      <c r="E53" s="176" t="s">
        <v>1029</v>
      </c>
      <c r="F53" s="128" t="s">
        <v>28</v>
      </c>
      <c r="G53" s="129" t="s">
        <v>28</v>
      </c>
      <c r="H53" s="129"/>
      <c r="I53" s="129" t="s">
        <v>28</v>
      </c>
      <c r="J53" s="129" t="s">
        <v>28</v>
      </c>
      <c r="K53" s="129" t="s">
        <v>28</v>
      </c>
      <c r="L53" s="129" t="s">
        <v>28</v>
      </c>
      <c r="M53" s="129"/>
      <c r="N53" s="129"/>
      <c r="O53" s="129"/>
      <c r="P53" s="129" t="s">
        <v>28</v>
      </c>
      <c r="Q53" s="129"/>
      <c r="R53" s="129" t="s">
        <v>28</v>
      </c>
      <c r="S53" s="129"/>
      <c r="T53" s="129"/>
      <c r="U53" s="129"/>
      <c r="V53" s="129"/>
      <c r="W53" s="129"/>
      <c r="X53" s="129"/>
      <c r="Y53" s="130"/>
      <c r="Z53" s="171"/>
      <c r="AA53" s="175">
        <v>37204104</v>
      </c>
      <c r="AB53" s="125" t="s">
        <v>734</v>
      </c>
      <c r="AC53" s="177" t="s">
        <v>1029</v>
      </c>
      <c r="AD53" s="126" t="s">
        <v>309</v>
      </c>
      <c r="AE53" s="126">
        <v>5</v>
      </c>
      <c r="AF53" s="178" t="s">
        <v>1017</v>
      </c>
      <c r="AG53" s="179">
        <v>37</v>
      </c>
      <c r="AH53" s="252"/>
      <c r="AI53" s="33"/>
      <c r="AJ53" s="33"/>
      <c r="AK53" s="33">
        <v>18</v>
      </c>
      <c r="AL53" s="33"/>
      <c r="AM53" s="33"/>
      <c r="AN53" s="33">
        <v>4</v>
      </c>
      <c r="AO53" s="33"/>
      <c r="AP53" s="33">
        <v>10</v>
      </c>
      <c r="AQ53" s="33">
        <v>1</v>
      </c>
      <c r="AR53" s="253">
        <v>92</v>
      </c>
      <c r="AS53" s="252">
        <v>50</v>
      </c>
      <c r="AT53" s="254">
        <v>75</v>
      </c>
      <c r="AU53" s="253">
        <f t="shared" si="1"/>
        <v>125</v>
      </c>
      <c r="AV53" s="193"/>
      <c r="AW53" s="234"/>
      <c r="AX53" s="235"/>
      <c r="AY53" s="235">
        <v>1</v>
      </c>
      <c r="AZ53" s="235"/>
      <c r="BA53" s="235"/>
      <c r="BB53" s="235"/>
      <c r="BC53" s="235">
        <v>4</v>
      </c>
      <c r="BD53" s="235">
        <v>18</v>
      </c>
      <c r="BE53" s="235">
        <v>10</v>
      </c>
      <c r="BF53" s="235"/>
      <c r="BG53" s="235">
        <v>92</v>
      </c>
      <c r="BH53" s="235">
        <v>50</v>
      </c>
      <c r="BI53" s="235">
        <v>75</v>
      </c>
      <c r="BJ53" s="236">
        <v>125</v>
      </c>
      <c r="BK53" s="234"/>
      <c r="BL53" s="235"/>
      <c r="BM53" s="235">
        <v>1</v>
      </c>
      <c r="BN53" s="235"/>
      <c r="BO53" s="235"/>
      <c r="BP53" s="235"/>
      <c r="BQ53" s="235">
        <v>4</v>
      </c>
      <c r="BR53" s="235">
        <v>18</v>
      </c>
      <c r="BS53" s="235">
        <v>10</v>
      </c>
      <c r="BT53" s="235"/>
      <c r="BU53" s="235">
        <v>92</v>
      </c>
      <c r="BV53" s="235">
        <v>50</v>
      </c>
      <c r="BW53" s="235">
        <v>75</v>
      </c>
      <c r="BX53" s="237">
        <v>125</v>
      </c>
      <c r="BY53" s="22"/>
      <c r="BZ53" s="22"/>
    </row>
    <row r="54" spans="1:80" s="107" customFormat="1" ht="35.25" customHeight="1" x14ac:dyDescent="0.2">
      <c r="A54" s="22"/>
      <c r="B54" s="205">
        <v>37204109</v>
      </c>
      <c r="C54" s="125" t="s">
        <v>735</v>
      </c>
      <c r="D54" s="126">
        <v>6</v>
      </c>
      <c r="E54" s="176" t="s">
        <v>1029</v>
      </c>
      <c r="F54" s="128" t="s">
        <v>28</v>
      </c>
      <c r="G54" s="129"/>
      <c r="H54" s="129"/>
      <c r="I54" s="129" t="s">
        <v>28</v>
      </c>
      <c r="J54" s="129" t="s">
        <v>28</v>
      </c>
      <c r="K54" s="129" t="s">
        <v>28</v>
      </c>
      <c r="L54" s="129"/>
      <c r="M54" s="129"/>
      <c r="N54" s="129"/>
      <c r="O54" s="129"/>
      <c r="P54" s="129" t="s">
        <v>28</v>
      </c>
      <c r="Q54" s="129"/>
      <c r="R54" s="129"/>
      <c r="S54" s="129"/>
      <c r="T54" s="129"/>
      <c r="U54" s="129" t="s">
        <v>28</v>
      </c>
      <c r="V54" s="129"/>
      <c r="W54" s="129"/>
      <c r="X54" s="129"/>
      <c r="Y54" s="130"/>
      <c r="Z54" s="171"/>
      <c r="AA54" s="175">
        <v>37204109</v>
      </c>
      <c r="AB54" s="125" t="s">
        <v>735</v>
      </c>
      <c r="AC54" s="177" t="s">
        <v>1029</v>
      </c>
      <c r="AD54" s="126" t="s">
        <v>309</v>
      </c>
      <c r="AE54" s="126">
        <v>6</v>
      </c>
      <c r="AF54" s="178" t="s">
        <v>1017</v>
      </c>
      <c r="AG54" s="179">
        <v>40</v>
      </c>
      <c r="AH54" s="252"/>
      <c r="AI54" s="33"/>
      <c r="AJ54" s="33"/>
      <c r="AK54" s="33">
        <v>12</v>
      </c>
      <c r="AL54" s="33"/>
      <c r="AM54" s="33"/>
      <c r="AN54" s="33">
        <v>22</v>
      </c>
      <c r="AO54" s="33"/>
      <c r="AP54" s="33"/>
      <c r="AQ54" s="33">
        <v>8</v>
      </c>
      <c r="AR54" s="253">
        <v>108</v>
      </c>
      <c r="AS54" s="252">
        <v>2</v>
      </c>
      <c r="AT54" s="254">
        <v>150</v>
      </c>
      <c r="AU54" s="253">
        <f t="shared" si="1"/>
        <v>152</v>
      </c>
      <c r="AV54" s="193"/>
      <c r="AW54" s="234"/>
      <c r="AX54" s="235"/>
      <c r="AY54" s="235"/>
      <c r="AZ54" s="235">
        <v>12</v>
      </c>
      <c r="BA54" s="235"/>
      <c r="BB54" s="235"/>
      <c r="BC54" s="235">
        <v>22</v>
      </c>
      <c r="BD54" s="235"/>
      <c r="BE54" s="235"/>
      <c r="BF54" s="235">
        <v>8</v>
      </c>
      <c r="BG54" s="235">
        <v>108</v>
      </c>
      <c r="BH54" s="235">
        <v>60</v>
      </c>
      <c r="BI54" s="235">
        <v>90</v>
      </c>
      <c r="BJ54" s="236">
        <v>150</v>
      </c>
      <c r="BK54" s="234"/>
      <c r="BL54" s="235"/>
      <c r="BM54" s="235"/>
      <c r="BN54" s="235">
        <v>12</v>
      </c>
      <c r="BO54" s="235"/>
      <c r="BP54" s="235"/>
      <c r="BQ54" s="235">
        <v>22</v>
      </c>
      <c r="BR54" s="235"/>
      <c r="BS54" s="235"/>
      <c r="BT54" s="235">
        <v>8</v>
      </c>
      <c r="BU54" s="235">
        <v>108</v>
      </c>
      <c r="BV54" s="235">
        <v>60</v>
      </c>
      <c r="BW54" s="235">
        <v>90</v>
      </c>
      <c r="BX54" s="237">
        <v>150</v>
      </c>
      <c r="BY54" s="22"/>
      <c r="BZ54" s="22"/>
    </row>
    <row r="55" spans="1:80" s="107" customFormat="1" x14ac:dyDescent="0.2">
      <c r="A55" s="22"/>
      <c r="B55" s="205">
        <v>37204107</v>
      </c>
      <c r="C55" s="125" t="s">
        <v>738</v>
      </c>
      <c r="D55" s="126">
        <v>7</v>
      </c>
      <c r="E55" s="176" t="s">
        <v>1029</v>
      </c>
      <c r="F55" s="128" t="s">
        <v>28</v>
      </c>
      <c r="G55" s="129" t="s">
        <v>28</v>
      </c>
      <c r="H55" s="129"/>
      <c r="I55" s="129"/>
      <c r="J55" s="129"/>
      <c r="K55" s="129" t="s">
        <v>28</v>
      </c>
      <c r="L55" s="129"/>
      <c r="M55" s="129"/>
      <c r="N55" s="129"/>
      <c r="O55" s="129"/>
      <c r="P55" s="129" t="s">
        <v>28</v>
      </c>
      <c r="Q55" s="129"/>
      <c r="R55" s="129"/>
      <c r="S55" s="129"/>
      <c r="T55" s="129"/>
      <c r="U55" s="129"/>
      <c r="V55" s="129"/>
      <c r="W55" s="129"/>
      <c r="X55" s="129"/>
      <c r="Y55" s="130"/>
      <c r="Z55" s="171"/>
      <c r="AA55" s="175">
        <v>37204107</v>
      </c>
      <c r="AB55" s="125" t="s">
        <v>738</v>
      </c>
      <c r="AC55" s="177" t="s">
        <v>1029</v>
      </c>
      <c r="AD55" s="126" t="s">
        <v>309</v>
      </c>
      <c r="AE55" s="126">
        <v>7</v>
      </c>
      <c r="AF55" s="178" t="s">
        <v>1017</v>
      </c>
      <c r="AG55" s="179">
        <v>39</v>
      </c>
      <c r="AH55" s="252">
        <v>3</v>
      </c>
      <c r="AI55" s="33"/>
      <c r="AJ55" s="33"/>
      <c r="AK55" s="33"/>
      <c r="AL55" s="33"/>
      <c r="AM55" s="33"/>
      <c r="AN55" s="33">
        <v>4</v>
      </c>
      <c r="AO55" s="33"/>
      <c r="AP55" s="33"/>
      <c r="AQ55" s="33">
        <v>16</v>
      </c>
      <c r="AR55" s="253">
        <v>152</v>
      </c>
      <c r="AS55" s="252">
        <v>70</v>
      </c>
      <c r="AT55" s="254">
        <v>105</v>
      </c>
      <c r="AU55" s="253">
        <f t="shared" si="1"/>
        <v>175</v>
      </c>
      <c r="AV55" s="193"/>
      <c r="AW55" s="234">
        <v>1</v>
      </c>
      <c r="AX55" s="235"/>
      <c r="AY55" s="235">
        <v>2</v>
      </c>
      <c r="AZ55" s="235"/>
      <c r="BA55" s="235"/>
      <c r="BB55" s="235"/>
      <c r="BC55" s="235">
        <v>4</v>
      </c>
      <c r="BD55" s="235"/>
      <c r="BE55" s="235"/>
      <c r="BF55" s="235">
        <v>16</v>
      </c>
      <c r="BG55" s="235">
        <v>152</v>
      </c>
      <c r="BH55" s="235">
        <v>70</v>
      </c>
      <c r="BI55" s="235">
        <v>105</v>
      </c>
      <c r="BJ55" s="236">
        <v>175</v>
      </c>
      <c r="BK55" s="234">
        <v>1</v>
      </c>
      <c r="BL55" s="235"/>
      <c r="BM55" s="235">
        <v>2</v>
      </c>
      <c r="BN55" s="235"/>
      <c r="BO55" s="235"/>
      <c r="BP55" s="235"/>
      <c r="BQ55" s="235">
        <v>4</v>
      </c>
      <c r="BR55" s="235"/>
      <c r="BS55" s="235"/>
      <c r="BT55" s="235">
        <v>16</v>
      </c>
      <c r="BU55" s="235">
        <v>152</v>
      </c>
      <c r="BV55" s="235">
        <v>70</v>
      </c>
      <c r="BW55" s="235">
        <v>105</v>
      </c>
      <c r="BX55" s="237">
        <v>175</v>
      </c>
      <c r="BY55" s="22"/>
      <c r="BZ55" s="22"/>
    </row>
    <row r="56" spans="1:80" s="107" customFormat="1" x14ac:dyDescent="0.2">
      <c r="A56" s="22"/>
      <c r="B56" s="205">
        <v>37204126</v>
      </c>
      <c r="C56" s="125" t="s">
        <v>739</v>
      </c>
      <c r="D56" s="126">
        <v>6</v>
      </c>
      <c r="E56" s="176" t="s">
        <v>1029</v>
      </c>
      <c r="F56" s="128"/>
      <c r="G56" s="129" t="s">
        <v>28</v>
      </c>
      <c r="H56" s="129" t="s">
        <v>28</v>
      </c>
      <c r="I56" s="129" t="s">
        <v>28</v>
      </c>
      <c r="J56" s="129"/>
      <c r="K56" s="129"/>
      <c r="L56" s="129"/>
      <c r="M56" s="129" t="s">
        <v>28</v>
      </c>
      <c r="N56" s="129" t="s">
        <v>28</v>
      </c>
      <c r="O56" s="129"/>
      <c r="P56" s="129"/>
      <c r="Q56" s="129"/>
      <c r="R56" s="129"/>
      <c r="S56" s="129"/>
      <c r="T56" s="129"/>
      <c r="U56" s="129"/>
      <c r="V56" s="129"/>
      <c r="W56" s="129" t="s">
        <v>28</v>
      </c>
      <c r="X56" s="129"/>
      <c r="Y56" s="130"/>
      <c r="Z56" s="171"/>
      <c r="AA56" s="175">
        <v>37204126</v>
      </c>
      <c r="AB56" s="125" t="s">
        <v>739</v>
      </c>
      <c r="AC56" s="177" t="s">
        <v>1029</v>
      </c>
      <c r="AD56" s="126" t="s">
        <v>309</v>
      </c>
      <c r="AE56" s="126">
        <v>6</v>
      </c>
      <c r="AF56" s="134" t="s">
        <v>992</v>
      </c>
      <c r="AG56" s="179">
        <v>36</v>
      </c>
      <c r="AH56" s="252">
        <v>2</v>
      </c>
      <c r="AI56" s="33"/>
      <c r="AJ56" s="33"/>
      <c r="AK56" s="33">
        <v>150</v>
      </c>
      <c r="AL56" s="33"/>
      <c r="AM56" s="33"/>
      <c r="AN56" s="33"/>
      <c r="AO56" s="33"/>
      <c r="AP56" s="33"/>
      <c r="AQ56" s="33"/>
      <c r="AR56" s="253"/>
      <c r="AS56" s="252">
        <v>60</v>
      </c>
      <c r="AT56" s="254">
        <v>90</v>
      </c>
      <c r="AU56" s="253">
        <f t="shared" si="1"/>
        <v>150</v>
      </c>
      <c r="AV56" s="193"/>
      <c r="AW56" s="234">
        <v>1</v>
      </c>
      <c r="AX56" s="235"/>
      <c r="AY56" s="235">
        <v>3</v>
      </c>
      <c r="AZ56" s="235">
        <v>150</v>
      </c>
      <c r="BA56" s="235"/>
      <c r="BB56" s="235"/>
      <c r="BC56" s="235"/>
      <c r="BD56" s="235"/>
      <c r="BE56" s="235">
        <v>21</v>
      </c>
      <c r="BF56" s="235"/>
      <c r="BG56" s="235"/>
      <c r="BH56" s="235">
        <v>156</v>
      </c>
      <c r="BI56" s="235">
        <v>20</v>
      </c>
      <c r="BJ56" s="236">
        <v>176</v>
      </c>
      <c r="BK56" s="234">
        <v>1</v>
      </c>
      <c r="BL56" s="235"/>
      <c r="BM56" s="235">
        <v>3</v>
      </c>
      <c r="BN56" s="235">
        <v>150</v>
      </c>
      <c r="BO56" s="235"/>
      <c r="BP56" s="235"/>
      <c r="BQ56" s="235"/>
      <c r="BR56" s="235"/>
      <c r="BS56" s="235">
        <v>21</v>
      </c>
      <c r="BT56" s="235"/>
      <c r="BU56" s="235"/>
      <c r="BV56" s="235">
        <v>156</v>
      </c>
      <c r="BW56" s="235">
        <v>20</v>
      </c>
      <c r="BX56" s="237">
        <v>176</v>
      </c>
      <c r="BY56" s="22"/>
      <c r="BZ56" s="22"/>
    </row>
    <row r="57" spans="1:80" s="107" customFormat="1" ht="21" x14ac:dyDescent="0.2">
      <c r="A57" s="22"/>
      <c r="B57" s="205">
        <v>37204110</v>
      </c>
      <c r="C57" s="125" t="s">
        <v>740</v>
      </c>
      <c r="D57" s="126">
        <v>4</v>
      </c>
      <c r="E57" s="176" t="s">
        <v>1029</v>
      </c>
      <c r="F57" s="128" t="s">
        <v>28</v>
      </c>
      <c r="G57" s="129"/>
      <c r="H57" s="129"/>
      <c r="I57" s="129"/>
      <c r="J57" s="129" t="s">
        <v>28</v>
      </c>
      <c r="K57" s="129"/>
      <c r="L57" s="129"/>
      <c r="M57" s="129"/>
      <c r="N57" s="129"/>
      <c r="O57" s="129"/>
      <c r="P57" s="129" t="s">
        <v>28</v>
      </c>
      <c r="Q57" s="129"/>
      <c r="R57" s="129"/>
      <c r="S57" s="129"/>
      <c r="T57" s="129"/>
      <c r="U57" s="129"/>
      <c r="V57" s="129"/>
      <c r="W57" s="129"/>
      <c r="X57" s="129"/>
      <c r="Y57" s="130"/>
      <c r="Z57" s="171"/>
      <c r="AA57" s="175">
        <v>37204110</v>
      </c>
      <c r="AB57" s="125" t="s">
        <v>740</v>
      </c>
      <c r="AC57" s="177" t="s">
        <v>1029</v>
      </c>
      <c r="AD57" s="126" t="s">
        <v>309</v>
      </c>
      <c r="AE57" s="126">
        <v>4</v>
      </c>
      <c r="AF57" s="178" t="s">
        <v>1017</v>
      </c>
      <c r="AG57" s="179">
        <v>39</v>
      </c>
      <c r="AH57" s="255"/>
      <c r="AI57" s="256"/>
      <c r="AJ57" s="256"/>
      <c r="AK57" s="256"/>
      <c r="AL57" s="256"/>
      <c r="AM57" s="256"/>
      <c r="AN57" s="256">
        <v>10</v>
      </c>
      <c r="AO57" s="256"/>
      <c r="AP57" s="256"/>
      <c r="AQ57" s="256">
        <v>12</v>
      </c>
      <c r="AR57" s="257">
        <v>78</v>
      </c>
      <c r="AS57" s="255">
        <v>40</v>
      </c>
      <c r="AT57" s="258">
        <v>60</v>
      </c>
      <c r="AU57" s="253">
        <f t="shared" si="1"/>
        <v>100</v>
      </c>
      <c r="AV57" s="193"/>
      <c r="AW57" s="234"/>
      <c r="AX57" s="235"/>
      <c r="AY57" s="235"/>
      <c r="AZ57" s="235"/>
      <c r="BA57" s="235"/>
      <c r="BB57" s="235"/>
      <c r="BC57" s="235">
        <v>10</v>
      </c>
      <c r="BD57" s="235"/>
      <c r="BE57" s="235"/>
      <c r="BF57" s="235">
        <v>12</v>
      </c>
      <c r="BG57" s="235">
        <v>78</v>
      </c>
      <c r="BH57" s="235">
        <v>40</v>
      </c>
      <c r="BI57" s="235">
        <v>60</v>
      </c>
      <c r="BJ57" s="236">
        <v>100</v>
      </c>
      <c r="BK57" s="234"/>
      <c r="BL57" s="235"/>
      <c r="BM57" s="235"/>
      <c r="BN57" s="235"/>
      <c r="BO57" s="235"/>
      <c r="BP57" s="235"/>
      <c r="BQ57" s="235">
        <v>10</v>
      </c>
      <c r="BR57" s="235"/>
      <c r="BS57" s="235"/>
      <c r="BT57" s="235">
        <v>12</v>
      </c>
      <c r="BU57" s="235">
        <v>78</v>
      </c>
      <c r="BV57" s="235">
        <v>40</v>
      </c>
      <c r="BW57" s="235">
        <v>60</v>
      </c>
      <c r="BX57" s="237">
        <v>100</v>
      </c>
      <c r="BY57" s="22"/>
      <c r="BZ57" s="22"/>
    </row>
    <row r="58" spans="1:80" s="107" customFormat="1" x14ac:dyDescent="0.2">
      <c r="A58" s="22"/>
      <c r="B58" s="205">
        <v>37204211</v>
      </c>
      <c r="C58" s="125" t="s">
        <v>741</v>
      </c>
      <c r="D58" s="126">
        <v>3</v>
      </c>
      <c r="E58" s="176" t="s">
        <v>1029</v>
      </c>
      <c r="F58" s="128" t="s">
        <v>28</v>
      </c>
      <c r="G58" s="129"/>
      <c r="H58" s="129" t="s">
        <v>28</v>
      </c>
      <c r="I58" s="129"/>
      <c r="J58" s="129" t="s">
        <v>28</v>
      </c>
      <c r="K58" s="129" t="s">
        <v>28</v>
      </c>
      <c r="L58" s="129"/>
      <c r="M58" s="129"/>
      <c r="N58" s="129"/>
      <c r="O58" s="129"/>
      <c r="P58" s="129" t="s">
        <v>28</v>
      </c>
      <c r="Q58" s="129"/>
      <c r="R58" s="129" t="s">
        <v>28</v>
      </c>
      <c r="S58" s="129"/>
      <c r="T58" s="129"/>
      <c r="U58" s="129"/>
      <c r="V58" s="129"/>
      <c r="W58" s="129"/>
      <c r="X58" s="129"/>
      <c r="Y58" s="130"/>
      <c r="Z58" s="171"/>
      <c r="AA58" s="175">
        <v>37204211</v>
      </c>
      <c r="AB58" s="125" t="s">
        <v>741</v>
      </c>
      <c r="AC58" s="177" t="s">
        <v>1029</v>
      </c>
      <c r="AD58" s="126" t="s">
        <v>353</v>
      </c>
      <c r="AE58" s="126">
        <v>3</v>
      </c>
      <c r="AF58" s="178" t="s">
        <v>1017</v>
      </c>
      <c r="AG58" s="237">
        <v>18</v>
      </c>
      <c r="AH58" s="255">
        <v>2</v>
      </c>
      <c r="AI58" s="256"/>
      <c r="AJ58" s="256"/>
      <c r="AK58" s="256">
        <v>40</v>
      </c>
      <c r="AL58" s="256"/>
      <c r="AM58" s="256">
        <v>8</v>
      </c>
      <c r="AN58" s="256">
        <v>12</v>
      </c>
      <c r="AO58" s="256"/>
      <c r="AP58" s="256"/>
      <c r="AQ58" s="256">
        <v>9</v>
      </c>
      <c r="AR58" s="257">
        <v>4</v>
      </c>
      <c r="AS58" s="255">
        <v>30</v>
      </c>
      <c r="AT58" s="258">
        <v>45</v>
      </c>
      <c r="AU58" s="257">
        <f t="shared" si="1"/>
        <v>75</v>
      </c>
      <c r="AV58" s="193"/>
      <c r="AW58" s="234">
        <v>2</v>
      </c>
      <c r="AX58" s="235"/>
      <c r="AY58" s="235"/>
      <c r="AZ58" s="235">
        <v>48</v>
      </c>
      <c r="BA58" s="235"/>
      <c r="BB58" s="235"/>
      <c r="BC58" s="235">
        <v>12</v>
      </c>
      <c r="BD58" s="235"/>
      <c r="BE58" s="235"/>
      <c r="BF58" s="235">
        <v>9</v>
      </c>
      <c r="BG58" s="235">
        <v>4</v>
      </c>
      <c r="BH58" s="235">
        <v>30</v>
      </c>
      <c r="BI58" s="235">
        <v>45</v>
      </c>
      <c r="BJ58" s="236">
        <v>75</v>
      </c>
      <c r="BK58" s="234">
        <v>2</v>
      </c>
      <c r="BL58" s="235"/>
      <c r="BM58" s="235"/>
      <c r="BN58" s="235">
        <v>48</v>
      </c>
      <c r="BO58" s="235"/>
      <c r="BP58" s="235"/>
      <c r="BQ58" s="235">
        <v>12</v>
      </c>
      <c r="BR58" s="235"/>
      <c r="BS58" s="235"/>
      <c r="BT58" s="235">
        <v>9</v>
      </c>
      <c r="BU58" s="235">
        <v>4</v>
      </c>
      <c r="BV58" s="235">
        <v>30</v>
      </c>
      <c r="BW58" s="235">
        <v>45</v>
      </c>
      <c r="BX58" s="237">
        <v>75</v>
      </c>
      <c r="BY58" s="22"/>
      <c r="BZ58" s="22"/>
    </row>
    <row r="59" spans="1:80" s="107" customFormat="1" ht="21" x14ac:dyDescent="0.2">
      <c r="A59" s="22"/>
      <c r="B59" s="205">
        <v>37204218</v>
      </c>
      <c r="C59" s="125" t="s">
        <v>742</v>
      </c>
      <c r="D59" s="126">
        <v>3</v>
      </c>
      <c r="E59" s="176" t="s">
        <v>1029</v>
      </c>
      <c r="F59" s="128" t="s">
        <v>28</v>
      </c>
      <c r="G59" s="129" t="s">
        <v>28</v>
      </c>
      <c r="H59" s="129"/>
      <c r="I59" s="129" t="s">
        <v>28</v>
      </c>
      <c r="J59" s="129"/>
      <c r="K59" s="129" t="s">
        <v>28</v>
      </c>
      <c r="L59" s="129"/>
      <c r="M59" s="129" t="s">
        <v>28</v>
      </c>
      <c r="N59" s="129" t="s">
        <v>28</v>
      </c>
      <c r="O59" s="129"/>
      <c r="P59" s="129"/>
      <c r="Q59" s="129"/>
      <c r="R59" s="129" t="s">
        <v>28</v>
      </c>
      <c r="S59" s="129"/>
      <c r="T59" s="129"/>
      <c r="U59" s="129"/>
      <c r="V59" s="129"/>
      <c r="W59" s="129"/>
      <c r="X59" s="129" t="s">
        <v>28</v>
      </c>
      <c r="Y59" s="130"/>
      <c r="Z59" s="171"/>
      <c r="AA59" s="175">
        <v>37204218</v>
      </c>
      <c r="AB59" s="125" t="s">
        <v>742</v>
      </c>
      <c r="AC59" s="177" t="s">
        <v>1029</v>
      </c>
      <c r="AD59" s="126" t="s">
        <v>353</v>
      </c>
      <c r="AE59" s="126">
        <v>3</v>
      </c>
      <c r="AF59" s="259" t="s">
        <v>992</v>
      </c>
      <c r="AG59" s="237">
        <v>12</v>
      </c>
      <c r="AH59" s="252">
        <v>3</v>
      </c>
      <c r="AI59" s="33"/>
      <c r="AJ59" s="33"/>
      <c r="AK59" s="33"/>
      <c r="AL59" s="33"/>
      <c r="AM59" s="33">
        <v>30</v>
      </c>
      <c r="AN59" s="33"/>
      <c r="AO59" s="33"/>
      <c r="AP59" s="33"/>
      <c r="AQ59" s="33">
        <v>36</v>
      </c>
      <c r="AR59" s="253">
        <v>6</v>
      </c>
      <c r="AS59" s="252">
        <v>37</v>
      </c>
      <c r="AT59" s="33">
        <v>38</v>
      </c>
      <c r="AU59" s="253">
        <f t="shared" si="1"/>
        <v>75</v>
      </c>
      <c r="AV59" s="193"/>
      <c r="AW59" s="234">
        <v>1</v>
      </c>
      <c r="AX59" s="235"/>
      <c r="AY59" s="235">
        <v>1</v>
      </c>
      <c r="AZ59" s="235"/>
      <c r="BA59" s="235">
        <v>42</v>
      </c>
      <c r="BB59" s="235"/>
      <c r="BC59" s="235"/>
      <c r="BD59" s="235"/>
      <c r="BE59" s="235"/>
      <c r="BF59" s="235">
        <v>29</v>
      </c>
      <c r="BG59" s="235">
        <v>2</v>
      </c>
      <c r="BH59" s="235">
        <v>30</v>
      </c>
      <c r="BI59" s="235">
        <v>45</v>
      </c>
      <c r="BJ59" s="236">
        <v>75</v>
      </c>
      <c r="BK59" s="234">
        <v>1</v>
      </c>
      <c r="BL59" s="235"/>
      <c r="BM59" s="235">
        <v>1</v>
      </c>
      <c r="BN59" s="235"/>
      <c r="BO59" s="235">
        <v>42</v>
      </c>
      <c r="BP59" s="235"/>
      <c r="BQ59" s="235"/>
      <c r="BR59" s="235"/>
      <c r="BS59" s="235"/>
      <c r="BT59" s="235">
        <v>29</v>
      </c>
      <c r="BU59" s="235">
        <v>2</v>
      </c>
      <c r="BV59" s="235">
        <v>30</v>
      </c>
      <c r="BW59" s="235">
        <v>45</v>
      </c>
      <c r="BX59" s="237">
        <v>75</v>
      </c>
      <c r="BY59" s="22"/>
      <c r="BZ59" s="22"/>
    </row>
    <row r="60" spans="1:80" s="107" customFormat="1" x14ac:dyDescent="0.2">
      <c r="A60" s="22"/>
      <c r="B60" s="205">
        <v>37204224</v>
      </c>
      <c r="C60" s="125" t="s">
        <v>744</v>
      </c>
      <c r="D60" s="126">
        <v>3</v>
      </c>
      <c r="E60" s="176" t="s">
        <v>1029</v>
      </c>
      <c r="F60" s="128" t="s">
        <v>28</v>
      </c>
      <c r="G60" s="129"/>
      <c r="H60" s="129"/>
      <c r="I60" s="129" t="s">
        <v>28</v>
      </c>
      <c r="J60" s="129" t="s">
        <v>28</v>
      </c>
      <c r="K60" s="129" t="s">
        <v>28</v>
      </c>
      <c r="L60" s="129"/>
      <c r="M60" s="129" t="s">
        <v>28</v>
      </c>
      <c r="N60" s="129" t="s">
        <v>28</v>
      </c>
      <c r="O60" s="129"/>
      <c r="P60" s="129" t="s">
        <v>28</v>
      </c>
      <c r="Q60" s="129"/>
      <c r="R60" s="129"/>
      <c r="S60" s="129"/>
      <c r="T60" s="129"/>
      <c r="U60" s="129"/>
      <c r="V60" s="129"/>
      <c r="W60" s="129"/>
      <c r="X60" s="129" t="s">
        <v>28</v>
      </c>
      <c r="Y60" s="130"/>
      <c r="Z60" s="171"/>
      <c r="AA60" s="175">
        <v>37204224</v>
      </c>
      <c r="AB60" s="125" t="s">
        <v>744</v>
      </c>
      <c r="AC60" s="177" t="s">
        <v>1029</v>
      </c>
      <c r="AD60" s="180"/>
      <c r="AE60" s="180">
        <v>3</v>
      </c>
      <c r="AF60" s="260"/>
      <c r="AG60" s="261">
        <v>19</v>
      </c>
      <c r="AH60" s="255"/>
      <c r="AI60" s="256"/>
      <c r="AJ60" s="256"/>
      <c r="AK60" s="256"/>
      <c r="AL60" s="256"/>
      <c r="AM60" s="256"/>
      <c r="AN60" s="256"/>
      <c r="AO60" s="256"/>
      <c r="AP60" s="256"/>
      <c r="AQ60" s="256"/>
      <c r="AR60" s="257"/>
      <c r="AS60" s="255"/>
      <c r="AT60" s="256"/>
      <c r="AU60" s="257"/>
      <c r="AV60" s="193"/>
      <c r="AW60" s="234"/>
      <c r="AX60" s="235"/>
      <c r="AY60" s="235">
        <v>5</v>
      </c>
      <c r="AZ60" s="235"/>
      <c r="BA60" s="235">
        <v>25</v>
      </c>
      <c r="BB60" s="235"/>
      <c r="BC60" s="235">
        <v>5</v>
      </c>
      <c r="BD60" s="235">
        <v>20</v>
      </c>
      <c r="BE60" s="235">
        <v>10</v>
      </c>
      <c r="BF60" s="235"/>
      <c r="BG60" s="235">
        <v>10</v>
      </c>
      <c r="BH60" s="235">
        <v>32.5</v>
      </c>
      <c r="BI60" s="235">
        <v>42.5</v>
      </c>
      <c r="BJ60" s="236">
        <v>75</v>
      </c>
      <c r="BK60" s="234"/>
      <c r="BL60" s="235"/>
      <c r="BM60" s="235">
        <v>5</v>
      </c>
      <c r="BN60" s="235"/>
      <c r="BO60" s="235">
        <v>25</v>
      </c>
      <c r="BP60" s="235"/>
      <c r="BQ60" s="235">
        <v>5</v>
      </c>
      <c r="BR60" s="235">
        <v>20</v>
      </c>
      <c r="BS60" s="235">
        <v>10</v>
      </c>
      <c r="BT60" s="235"/>
      <c r="BU60" s="235">
        <v>10</v>
      </c>
      <c r="BV60" s="235">
        <v>32.5</v>
      </c>
      <c r="BW60" s="235">
        <v>42.5</v>
      </c>
      <c r="BX60" s="237">
        <v>75</v>
      </c>
      <c r="BY60" s="22"/>
      <c r="BZ60" s="22"/>
    </row>
    <row r="61" spans="1:80" s="107" customFormat="1" ht="13.5" thickBot="1" x14ac:dyDescent="0.25">
      <c r="A61" s="22"/>
      <c r="B61" s="206">
        <v>37204221</v>
      </c>
      <c r="C61" s="138" t="s">
        <v>743</v>
      </c>
      <c r="D61" s="139">
        <v>3</v>
      </c>
      <c r="E61" s="182" t="s">
        <v>1029</v>
      </c>
      <c r="F61" s="141" t="s">
        <v>28</v>
      </c>
      <c r="G61" s="142"/>
      <c r="H61" s="142"/>
      <c r="I61" s="142"/>
      <c r="J61" s="142" t="s">
        <v>28</v>
      </c>
      <c r="K61" s="142"/>
      <c r="L61" s="142"/>
      <c r="M61" s="142"/>
      <c r="N61" s="142" t="s">
        <v>28</v>
      </c>
      <c r="O61" s="142"/>
      <c r="P61" s="142" t="s">
        <v>28</v>
      </c>
      <c r="Q61" s="142"/>
      <c r="R61" s="142"/>
      <c r="S61" s="142"/>
      <c r="T61" s="142"/>
      <c r="U61" s="142"/>
      <c r="V61" s="142"/>
      <c r="W61" s="142"/>
      <c r="X61" s="142" t="s">
        <v>28</v>
      </c>
      <c r="Y61" s="143"/>
      <c r="Z61" s="171"/>
      <c r="AA61" s="181">
        <v>37204221</v>
      </c>
      <c r="AB61" s="138" t="s">
        <v>743</v>
      </c>
      <c r="AC61" s="183" t="s">
        <v>1029</v>
      </c>
      <c r="AD61" s="139" t="s">
        <v>353</v>
      </c>
      <c r="AE61" s="139">
        <v>3</v>
      </c>
      <c r="AF61" s="184" t="s">
        <v>1017</v>
      </c>
      <c r="AG61" s="247">
        <v>17</v>
      </c>
      <c r="AH61" s="262"/>
      <c r="AI61" s="263"/>
      <c r="AJ61" s="263"/>
      <c r="AK61" s="263"/>
      <c r="AL61" s="263">
        <v>20</v>
      </c>
      <c r="AM61" s="263"/>
      <c r="AN61" s="263">
        <v>23</v>
      </c>
      <c r="AO61" s="263"/>
      <c r="AP61" s="263"/>
      <c r="AQ61" s="263">
        <v>15</v>
      </c>
      <c r="AR61" s="264">
        <v>17</v>
      </c>
      <c r="AS61" s="262">
        <v>30</v>
      </c>
      <c r="AT61" s="263">
        <v>45</v>
      </c>
      <c r="AU61" s="264">
        <f>AS61+AT61</f>
        <v>75</v>
      </c>
      <c r="AV61" s="193"/>
      <c r="AW61" s="244"/>
      <c r="AX61" s="245"/>
      <c r="AY61" s="245">
        <v>10</v>
      </c>
      <c r="AZ61" s="245"/>
      <c r="BA61" s="245">
        <v>20</v>
      </c>
      <c r="BB61" s="245"/>
      <c r="BC61" s="245">
        <v>13</v>
      </c>
      <c r="BD61" s="245"/>
      <c r="BE61" s="245"/>
      <c r="BF61" s="245"/>
      <c r="BG61" s="245">
        <v>32</v>
      </c>
      <c r="BH61" s="245">
        <v>30</v>
      </c>
      <c r="BI61" s="245">
        <v>45</v>
      </c>
      <c r="BJ61" s="246">
        <v>75</v>
      </c>
      <c r="BK61" s="244"/>
      <c r="BL61" s="245"/>
      <c r="BM61" s="245">
        <v>10</v>
      </c>
      <c r="BN61" s="245"/>
      <c r="BO61" s="245">
        <v>20</v>
      </c>
      <c r="BP61" s="245"/>
      <c r="BQ61" s="245">
        <v>13</v>
      </c>
      <c r="BR61" s="245"/>
      <c r="BS61" s="245"/>
      <c r="BT61" s="245"/>
      <c r="BU61" s="245">
        <v>32</v>
      </c>
      <c r="BV61" s="245">
        <v>30</v>
      </c>
      <c r="BW61" s="245">
        <v>45</v>
      </c>
      <c r="BX61" s="247">
        <v>75</v>
      </c>
      <c r="BY61" s="22"/>
      <c r="BZ61" s="22"/>
    </row>
    <row r="62" spans="1:80" s="107" customFormat="1" ht="13.5" thickBot="1" x14ac:dyDescent="0.25">
      <c r="A62" s="22"/>
      <c r="B62" s="207"/>
      <c r="C62" s="186"/>
      <c r="D62" s="168"/>
      <c r="E62" s="187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71"/>
      <c r="AA62" s="185"/>
      <c r="AB62" s="186"/>
      <c r="AC62" s="187"/>
      <c r="AD62" s="168"/>
      <c r="AE62" s="168"/>
      <c r="AF62" s="189"/>
      <c r="AG62" s="265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227">
        <f>SUM(AS47:AS61)</f>
        <v>569</v>
      </c>
      <c r="AT62" s="227">
        <f>SUM(AT47:AT61)</f>
        <v>983</v>
      </c>
      <c r="AU62" s="227">
        <f>SUM(AU47:AU61)</f>
        <v>1552</v>
      </c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3"/>
      <c r="BG62" s="193"/>
      <c r="BH62" s="227">
        <f>SUM(BH47:BH61)</f>
        <v>750.5</v>
      </c>
      <c r="BI62" s="227">
        <f>SUM(BI47:BI61)</f>
        <v>900.5</v>
      </c>
      <c r="BJ62" s="227">
        <f>SUM(BJ47:BJ61)</f>
        <v>1651</v>
      </c>
      <c r="BK62" s="193"/>
      <c r="BL62" s="193"/>
      <c r="BM62" s="193"/>
      <c r="BN62" s="193"/>
      <c r="BO62" s="193"/>
      <c r="BP62" s="193"/>
      <c r="BQ62" s="193"/>
      <c r="BR62" s="193"/>
      <c r="BS62" s="193"/>
      <c r="BT62" s="193"/>
      <c r="BU62" s="193"/>
      <c r="BV62" s="227">
        <f>SUM(BV47:BV61)</f>
        <v>750.5</v>
      </c>
      <c r="BW62" s="227">
        <f>SUM(BW47:BW61)</f>
        <v>900.5</v>
      </c>
      <c r="BX62" s="227">
        <f>SUM(BX47:BX61)</f>
        <v>1651</v>
      </c>
      <c r="BY62" s="22"/>
      <c r="BZ62" s="22"/>
    </row>
    <row r="63" spans="1:80" s="107" customFormat="1" ht="13.5" thickBot="1" x14ac:dyDescent="0.25">
      <c r="A63" s="22"/>
      <c r="B63" s="207"/>
      <c r="C63" s="186"/>
      <c r="D63" s="168"/>
      <c r="E63" s="187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71"/>
      <c r="AA63" s="185"/>
      <c r="AB63" s="186"/>
      <c r="AC63" s="187"/>
      <c r="AD63" s="168"/>
      <c r="AE63" s="168"/>
      <c r="AF63" s="189"/>
      <c r="AG63" s="265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228">
        <f>AS62/AU62</f>
        <v>0.36662371134020616</v>
      </c>
      <c r="AT63" s="228">
        <f>AT62/AU62</f>
        <v>0.63337628865979378</v>
      </c>
      <c r="AU63" s="228">
        <f>AU62/AU62</f>
        <v>1</v>
      </c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228">
        <f>BH62/BJ62</f>
        <v>0.45457298606904906</v>
      </c>
      <c r="BI63" s="228">
        <f>BI62/BJ62</f>
        <v>0.54542701393095094</v>
      </c>
      <c r="BJ63" s="228">
        <f>BJ62/BJ62</f>
        <v>1</v>
      </c>
      <c r="BK63" s="193"/>
      <c r="BL63" s="193"/>
      <c r="BM63" s="193"/>
      <c r="BN63" s="193"/>
      <c r="BO63" s="193"/>
      <c r="BP63" s="193"/>
      <c r="BQ63" s="193"/>
      <c r="BR63" s="193"/>
      <c r="BS63" s="193"/>
      <c r="BT63" s="193"/>
      <c r="BU63" s="193"/>
      <c r="BV63" s="228">
        <f>BV62/BX62</f>
        <v>0.45457298606904906</v>
      </c>
      <c r="BW63" s="228">
        <f>BW62/BX62</f>
        <v>0.54542701393095094</v>
      </c>
      <c r="BX63" s="228">
        <f>BX62/BX62</f>
        <v>1</v>
      </c>
      <c r="BY63" s="22"/>
      <c r="BZ63" s="22"/>
    </row>
    <row r="64" spans="1:80" ht="13.5" thickBot="1" x14ac:dyDescent="0.25">
      <c r="B64" s="199"/>
      <c r="C64" s="193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166"/>
      <c r="AB64" s="167"/>
      <c r="AC64" s="168"/>
      <c r="AD64" s="168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22"/>
      <c r="AT64" s="22"/>
      <c r="AU64" s="22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1"/>
      <c r="BR64" s="191"/>
      <c r="BS64" s="191"/>
      <c r="BT64" s="191"/>
      <c r="BU64" s="191"/>
      <c r="BV64" s="191"/>
      <c r="BW64" s="191"/>
      <c r="BX64" s="191"/>
    </row>
    <row r="65" spans="1:80" ht="16.5" customHeight="1" thickBot="1" x14ac:dyDescent="0.25">
      <c r="B65" s="199"/>
      <c r="C65" s="193"/>
      <c r="D65" s="34"/>
      <c r="E65" s="34"/>
      <c r="F65" s="999" t="s">
        <v>935</v>
      </c>
      <c r="G65" s="1000"/>
      <c r="H65" s="1000"/>
      <c r="I65" s="1000"/>
      <c r="J65" s="1000"/>
      <c r="K65" s="1001"/>
      <c r="L65" s="999" t="s">
        <v>936</v>
      </c>
      <c r="M65" s="1000"/>
      <c r="N65" s="1000"/>
      <c r="O65" s="1000"/>
      <c r="P65" s="1000"/>
      <c r="Q65" s="1000"/>
      <c r="R65" s="1000"/>
      <c r="S65" s="1000"/>
      <c r="T65" s="1000"/>
      <c r="U65" s="1000"/>
      <c r="V65" s="1000"/>
      <c r="W65" s="1000"/>
      <c r="X65" s="1000"/>
      <c r="Y65" s="1001"/>
      <c r="Z65" s="34"/>
      <c r="AA65" s="191"/>
      <c r="AB65" s="191"/>
      <c r="AC65" s="191"/>
      <c r="AD65" s="191"/>
      <c r="AE65" s="191"/>
      <c r="AF65" s="191"/>
      <c r="AG65" s="999" t="s">
        <v>937</v>
      </c>
      <c r="AH65" s="1000"/>
      <c r="AI65" s="1000"/>
      <c r="AJ65" s="1000"/>
      <c r="AK65" s="1000"/>
      <c r="AL65" s="1000"/>
      <c r="AM65" s="1000"/>
      <c r="AN65" s="1000"/>
      <c r="AO65" s="1000"/>
      <c r="AP65" s="1000"/>
      <c r="AQ65" s="1000"/>
      <c r="AR65" s="1000"/>
      <c r="AS65" s="1000"/>
      <c r="AT65" s="1000"/>
      <c r="AU65" s="1001"/>
      <c r="AV65" s="191"/>
      <c r="AW65" s="999" t="s">
        <v>937</v>
      </c>
      <c r="AX65" s="1000"/>
      <c r="AY65" s="1000"/>
      <c r="AZ65" s="1000"/>
      <c r="BA65" s="1000"/>
      <c r="BB65" s="1000"/>
      <c r="BC65" s="1000"/>
      <c r="BD65" s="1000"/>
      <c r="BE65" s="1000"/>
      <c r="BF65" s="1000"/>
      <c r="BG65" s="1000"/>
      <c r="BH65" s="1000"/>
      <c r="BI65" s="1000"/>
      <c r="BJ65" s="1001"/>
      <c r="BK65" s="999" t="s">
        <v>937</v>
      </c>
      <c r="BL65" s="1000"/>
      <c r="BM65" s="1000"/>
      <c r="BN65" s="1000"/>
      <c r="BO65" s="1000"/>
      <c r="BP65" s="1000"/>
      <c r="BQ65" s="1000"/>
      <c r="BR65" s="1000"/>
      <c r="BS65" s="1000"/>
      <c r="BT65" s="1000"/>
      <c r="BU65" s="1000"/>
      <c r="BV65" s="1000"/>
      <c r="BW65" s="1000"/>
      <c r="BX65" s="1001"/>
    </row>
    <row r="66" spans="1:80" s="272" customFormat="1" ht="42.75" thickBot="1" x14ac:dyDescent="0.3">
      <c r="B66" s="195" t="s">
        <v>938</v>
      </c>
      <c r="C66" s="195" t="s">
        <v>272</v>
      </c>
      <c r="D66" s="195" t="s">
        <v>1049</v>
      </c>
      <c r="E66" s="195" t="s">
        <v>273</v>
      </c>
      <c r="F66" s="273" t="s">
        <v>941</v>
      </c>
      <c r="G66" s="273" t="s">
        <v>942</v>
      </c>
      <c r="H66" s="273" t="s">
        <v>943</v>
      </c>
      <c r="I66" s="273" t="s">
        <v>944</v>
      </c>
      <c r="J66" s="273" t="s">
        <v>945</v>
      </c>
      <c r="K66" s="274" t="s">
        <v>946</v>
      </c>
      <c r="L66" s="275" t="s">
        <v>947</v>
      </c>
      <c r="M66" s="273" t="s">
        <v>948</v>
      </c>
      <c r="N66" s="273" t="s">
        <v>949</v>
      </c>
      <c r="O66" s="273" t="s">
        <v>950</v>
      </c>
      <c r="P66" s="273" t="s">
        <v>951</v>
      </c>
      <c r="Q66" s="273" t="s">
        <v>952</v>
      </c>
      <c r="R66" s="273" t="s">
        <v>953</v>
      </c>
      <c r="S66" s="273" t="s">
        <v>954</v>
      </c>
      <c r="T66" s="273" t="s">
        <v>955</v>
      </c>
      <c r="U66" s="274" t="s">
        <v>956</v>
      </c>
      <c r="V66" s="274" t="s">
        <v>957</v>
      </c>
      <c r="W66" s="274" t="s">
        <v>958</v>
      </c>
      <c r="X66" s="274" t="s">
        <v>959</v>
      </c>
      <c r="Y66" s="274" t="s">
        <v>960</v>
      </c>
      <c r="Z66" s="265"/>
      <c r="AA66" s="195" t="s">
        <v>938</v>
      </c>
      <c r="AB66" s="195" t="s">
        <v>272</v>
      </c>
      <c r="AC66" s="195" t="s">
        <v>273</v>
      </c>
      <c r="AD66" s="195" t="s">
        <v>274</v>
      </c>
      <c r="AE66" s="195" t="s">
        <v>1049</v>
      </c>
      <c r="AF66" s="195" t="s">
        <v>961</v>
      </c>
      <c r="AG66" s="266" t="s">
        <v>962</v>
      </c>
      <c r="AH66" s="276" t="s">
        <v>963</v>
      </c>
      <c r="AI66" s="276" t="s">
        <v>964</v>
      </c>
      <c r="AJ66" s="276" t="s">
        <v>965</v>
      </c>
      <c r="AK66" s="276" t="s">
        <v>966</v>
      </c>
      <c r="AL66" s="276" t="s">
        <v>967</v>
      </c>
      <c r="AM66" s="276" t="s">
        <v>968</v>
      </c>
      <c r="AN66" s="276" t="s">
        <v>969</v>
      </c>
      <c r="AO66" s="276" t="s">
        <v>970</v>
      </c>
      <c r="AP66" s="276" t="s">
        <v>971</v>
      </c>
      <c r="AQ66" s="276" t="s">
        <v>972</v>
      </c>
      <c r="AR66" s="277" t="s">
        <v>973</v>
      </c>
      <c r="AS66" s="111" t="s">
        <v>974</v>
      </c>
      <c r="AT66" s="111" t="s">
        <v>975</v>
      </c>
      <c r="AU66" s="111" t="s">
        <v>976</v>
      </c>
      <c r="AV66" s="265"/>
      <c r="AW66" s="273" t="s">
        <v>963</v>
      </c>
      <c r="AX66" s="273" t="s">
        <v>964</v>
      </c>
      <c r="AY66" s="273" t="s">
        <v>965</v>
      </c>
      <c r="AZ66" s="273" t="s">
        <v>966</v>
      </c>
      <c r="BA66" s="273" t="s">
        <v>967</v>
      </c>
      <c r="BB66" s="273" t="s">
        <v>968</v>
      </c>
      <c r="BC66" s="273" t="s">
        <v>969</v>
      </c>
      <c r="BD66" s="273" t="s">
        <v>970</v>
      </c>
      <c r="BE66" s="273" t="s">
        <v>971</v>
      </c>
      <c r="BF66" s="273" t="s">
        <v>972</v>
      </c>
      <c r="BG66" s="274" t="s">
        <v>973</v>
      </c>
      <c r="BH66" s="111" t="s">
        <v>974</v>
      </c>
      <c r="BI66" s="111" t="s">
        <v>975</v>
      </c>
      <c r="BJ66" s="111" t="s">
        <v>976</v>
      </c>
      <c r="BK66" s="273" t="s">
        <v>963</v>
      </c>
      <c r="BL66" s="273" t="s">
        <v>964</v>
      </c>
      <c r="BM66" s="273" t="s">
        <v>965</v>
      </c>
      <c r="BN66" s="273" t="s">
        <v>966</v>
      </c>
      <c r="BO66" s="273" t="s">
        <v>967</v>
      </c>
      <c r="BP66" s="273" t="s">
        <v>968</v>
      </c>
      <c r="BQ66" s="273" t="s">
        <v>969</v>
      </c>
      <c r="BR66" s="273" t="s">
        <v>970</v>
      </c>
      <c r="BS66" s="273" t="s">
        <v>971</v>
      </c>
      <c r="BT66" s="273" t="s">
        <v>972</v>
      </c>
      <c r="BU66" s="274" t="s">
        <v>973</v>
      </c>
      <c r="BV66" s="111" t="s">
        <v>974</v>
      </c>
      <c r="BW66" s="111" t="s">
        <v>975</v>
      </c>
      <c r="BX66" s="111" t="s">
        <v>976</v>
      </c>
    </row>
    <row r="67" spans="1:80" s="107" customFormat="1" ht="33" customHeight="1" x14ac:dyDescent="0.2">
      <c r="A67" s="22"/>
      <c r="B67" s="208" t="s">
        <v>1034</v>
      </c>
      <c r="C67" s="112" t="s">
        <v>745</v>
      </c>
      <c r="D67" s="113">
        <v>3</v>
      </c>
      <c r="E67" s="170" t="s">
        <v>1035</v>
      </c>
      <c r="F67" s="154" t="s">
        <v>28</v>
      </c>
      <c r="G67" s="155"/>
      <c r="H67" s="155"/>
      <c r="I67" s="155" t="s">
        <v>28</v>
      </c>
      <c r="J67" s="155"/>
      <c r="K67" s="155" t="s">
        <v>28</v>
      </c>
      <c r="L67" s="155"/>
      <c r="M67" s="155"/>
      <c r="N67" s="155" t="s">
        <v>28</v>
      </c>
      <c r="O67" s="155"/>
      <c r="P67" s="155" t="s">
        <v>28</v>
      </c>
      <c r="Q67" s="155"/>
      <c r="R67" s="155"/>
      <c r="S67" s="155"/>
      <c r="T67" s="155"/>
      <c r="U67" s="155"/>
      <c r="V67" s="155"/>
      <c r="W67" s="155"/>
      <c r="X67" s="155"/>
      <c r="Y67" s="156"/>
      <c r="Z67" s="171"/>
      <c r="AA67" s="169" t="s">
        <v>1034</v>
      </c>
      <c r="AB67" s="112" t="s">
        <v>745</v>
      </c>
      <c r="AC67" s="172" t="s">
        <v>1035</v>
      </c>
      <c r="AD67" s="113" t="s">
        <v>309</v>
      </c>
      <c r="AE67" s="113">
        <v>3</v>
      </c>
      <c r="AF67" s="282"/>
      <c r="AG67" s="174">
        <v>33</v>
      </c>
      <c r="AH67" s="285"/>
      <c r="AI67" s="286"/>
      <c r="AJ67" s="286"/>
      <c r="AK67" s="286"/>
      <c r="AL67" s="286"/>
      <c r="AM67" s="286"/>
      <c r="AN67" s="286"/>
      <c r="AO67" s="286"/>
      <c r="AP67" s="286"/>
      <c r="AQ67" s="286"/>
      <c r="AR67" s="287"/>
      <c r="AS67" s="288"/>
      <c r="AT67" s="297"/>
      <c r="AU67" s="287"/>
      <c r="AV67" s="193"/>
      <c r="AW67" s="230">
        <v>1</v>
      </c>
      <c r="AX67" s="231"/>
      <c r="AY67" s="231">
        <v>1</v>
      </c>
      <c r="AZ67" s="231"/>
      <c r="BA67" s="231"/>
      <c r="BB67" s="231"/>
      <c r="BC67" s="231">
        <v>8</v>
      </c>
      <c r="BD67" s="231"/>
      <c r="BE67" s="231">
        <v>12</v>
      </c>
      <c r="BF67" s="231">
        <v>12</v>
      </c>
      <c r="BG67" s="231">
        <v>41</v>
      </c>
      <c r="BH67" s="231">
        <v>30</v>
      </c>
      <c r="BI67" s="231">
        <v>45</v>
      </c>
      <c r="BJ67" s="232">
        <v>75</v>
      </c>
      <c r="BK67" s="230">
        <v>1</v>
      </c>
      <c r="BL67" s="231"/>
      <c r="BM67" s="231">
        <v>1</v>
      </c>
      <c r="BN67" s="231"/>
      <c r="BO67" s="231"/>
      <c r="BP67" s="231"/>
      <c r="BQ67" s="231">
        <v>8</v>
      </c>
      <c r="BR67" s="231"/>
      <c r="BS67" s="231">
        <v>12</v>
      </c>
      <c r="BT67" s="231">
        <v>12</v>
      </c>
      <c r="BU67" s="231">
        <v>41</v>
      </c>
      <c r="BV67" s="231">
        <v>30</v>
      </c>
      <c r="BW67" s="231">
        <v>45</v>
      </c>
      <c r="BX67" s="233">
        <v>75</v>
      </c>
      <c r="CA67" s="22"/>
      <c r="CB67" s="22"/>
    </row>
    <row r="68" spans="1:80" s="107" customFormat="1" ht="35.25" customHeight="1" x14ac:dyDescent="0.2">
      <c r="A68" s="22"/>
      <c r="B68" s="205" t="s">
        <v>1036</v>
      </c>
      <c r="C68" s="125" t="s">
        <v>454</v>
      </c>
      <c r="D68" s="126">
        <v>3</v>
      </c>
      <c r="E68" s="176" t="s">
        <v>1035</v>
      </c>
      <c r="F68" s="158" t="s">
        <v>28</v>
      </c>
      <c r="G68" s="159"/>
      <c r="H68" s="159"/>
      <c r="I68" s="159" t="s">
        <v>28</v>
      </c>
      <c r="J68" s="159"/>
      <c r="K68" s="159" t="s">
        <v>28</v>
      </c>
      <c r="L68" s="159"/>
      <c r="M68" s="159"/>
      <c r="N68" s="159" t="s">
        <v>28</v>
      </c>
      <c r="O68" s="159"/>
      <c r="P68" s="159" t="s">
        <v>28</v>
      </c>
      <c r="Q68" s="159"/>
      <c r="R68" s="159"/>
      <c r="S68" s="159"/>
      <c r="T68" s="159"/>
      <c r="U68" s="159"/>
      <c r="V68" s="159"/>
      <c r="W68" s="159"/>
      <c r="X68" s="159" t="s">
        <v>28</v>
      </c>
      <c r="Y68" s="160"/>
      <c r="Z68" s="171"/>
      <c r="AA68" s="175" t="s">
        <v>1036</v>
      </c>
      <c r="AB68" s="125" t="s">
        <v>454</v>
      </c>
      <c r="AC68" s="177" t="s">
        <v>1035</v>
      </c>
      <c r="AD68" s="126" t="s">
        <v>309</v>
      </c>
      <c r="AE68" s="126">
        <v>3</v>
      </c>
      <c r="AF68" s="283"/>
      <c r="AG68" s="179">
        <v>34</v>
      </c>
      <c r="AH68" s="289"/>
      <c r="AI68" s="290"/>
      <c r="AJ68" s="290"/>
      <c r="AK68" s="290"/>
      <c r="AL68" s="290"/>
      <c r="AM68" s="290"/>
      <c r="AN68" s="290"/>
      <c r="AO68" s="290"/>
      <c r="AP68" s="290"/>
      <c r="AQ68" s="290"/>
      <c r="AR68" s="291"/>
      <c r="AS68" s="292"/>
      <c r="AT68" s="298"/>
      <c r="AU68" s="291"/>
      <c r="AV68" s="193"/>
      <c r="AW68" s="234">
        <v>1</v>
      </c>
      <c r="AX68" s="235"/>
      <c r="AY68" s="235">
        <v>1</v>
      </c>
      <c r="AZ68" s="235"/>
      <c r="BA68" s="235"/>
      <c r="BB68" s="235"/>
      <c r="BC68" s="235">
        <v>12</v>
      </c>
      <c r="BD68" s="235"/>
      <c r="BE68" s="235">
        <v>7</v>
      </c>
      <c r="BF68" s="235">
        <v>20</v>
      </c>
      <c r="BG68" s="235">
        <v>34</v>
      </c>
      <c r="BH68" s="235">
        <v>35</v>
      </c>
      <c r="BI68" s="235">
        <v>40</v>
      </c>
      <c r="BJ68" s="236">
        <v>75</v>
      </c>
      <c r="BK68" s="234">
        <v>1</v>
      </c>
      <c r="BL68" s="235"/>
      <c r="BM68" s="235">
        <v>1</v>
      </c>
      <c r="BN68" s="235"/>
      <c r="BO68" s="235"/>
      <c r="BP68" s="235"/>
      <c r="BQ68" s="235">
        <v>12</v>
      </c>
      <c r="BR68" s="235"/>
      <c r="BS68" s="235">
        <v>7</v>
      </c>
      <c r="BT68" s="235">
        <v>20</v>
      </c>
      <c r="BU68" s="235">
        <v>34</v>
      </c>
      <c r="BV68" s="235">
        <v>35</v>
      </c>
      <c r="BW68" s="235">
        <v>40</v>
      </c>
      <c r="BX68" s="237">
        <v>75</v>
      </c>
    </row>
    <row r="69" spans="1:80" s="107" customFormat="1" ht="35.25" customHeight="1" x14ac:dyDescent="0.2">
      <c r="A69" s="22"/>
      <c r="B69" s="205" t="s">
        <v>1037</v>
      </c>
      <c r="C69" s="125" t="s">
        <v>746</v>
      </c>
      <c r="D69" s="126">
        <v>3</v>
      </c>
      <c r="E69" s="176" t="s">
        <v>1035</v>
      </c>
      <c r="F69" s="158" t="s">
        <v>28</v>
      </c>
      <c r="G69" s="159"/>
      <c r="H69" s="159"/>
      <c r="I69" s="159"/>
      <c r="J69" s="159" t="s">
        <v>28</v>
      </c>
      <c r="K69" s="159"/>
      <c r="L69" s="159"/>
      <c r="M69" s="159"/>
      <c r="N69" s="159"/>
      <c r="O69" s="159"/>
      <c r="P69" s="159" t="s">
        <v>28</v>
      </c>
      <c r="Q69" s="159"/>
      <c r="R69" s="159"/>
      <c r="S69" s="159"/>
      <c r="T69" s="159"/>
      <c r="U69" s="159"/>
      <c r="V69" s="159"/>
      <c r="W69" s="159"/>
      <c r="X69" s="159"/>
      <c r="Y69" s="160"/>
      <c r="Z69" s="171"/>
      <c r="AA69" s="175" t="s">
        <v>1037</v>
      </c>
      <c r="AB69" s="125" t="s">
        <v>746</v>
      </c>
      <c r="AC69" s="177" t="s">
        <v>1035</v>
      </c>
      <c r="AD69" s="126" t="s">
        <v>309</v>
      </c>
      <c r="AE69" s="126">
        <v>3</v>
      </c>
      <c r="AF69" s="283"/>
      <c r="AG69" s="179">
        <v>35</v>
      </c>
      <c r="AH69" s="289"/>
      <c r="AI69" s="290"/>
      <c r="AJ69" s="290"/>
      <c r="AK69" s="290"/>
      <c r="AL69" s="290"/>
      <c r="AM69" s="290"/>
      <c r="AN69" s="290"/>
      <c r="AO69" s="290"/>
      <c r="AP69" s="290"/>
      <c r="AQ69" s="290"/>
      <c r="AR69" s="291"/>
      <c r="AS69" s="292"/>
      <c r="AT69" s="298"/>
      <c r="AU69" s="291"/>
      <c r="AV69" s="193"/>
      <c r="AW69" s="234"/>
      <c r="AX69" s="235"/>
      <c r="AY69" s="235"/>
      <c r="AZ69" s="235"/>
      <c r="BA69" s="235"/>
      <c r="BB69" s="235"/>
      <c r="BC69" s="235">
        <v>7</v>
      </c>
      <c r="BD69" s="235"/>
      <c r="BE69" s="235"/>
      <c r="BF69" s="235"/>
      <c r="BG69" s="235">
        <v>68</v>
      </c>
      <c r="BH69" s="235">
        <v>30</v>
      </c>
      <c r="BI69" s="235">
        <v>45</v>
      </c>
      <c r="BJ69" s="236">
        <v>75</v>
      </c>
      <c r="BK69" s="234"/>
      <c r="BL69" s="235"/>
      <c r="BM69" s="235"/>
      <c r="BN69" s="235"/>
      <c r="BO69" s="235"/>
      <c r="BP69" s="235"/>
      <c r="BQ69" s="235">
        <v>7</v>
      </c>
      <c r="BR69" s="235"/>
      <c r="BS69" s="235"/>
      <c r="BT69" s="235"/>
      <c r="BU69" s="235">
        <v>68</v>
      </c>
      <c r="BV69" s="235">
        <v>30</v>
      </c>
      <c r="BW69" s="235">
        <v>45</v>
      </c>
      <c r="BX69" s="237">
        <v>75</v>
      </c>
    </row>
    <row r="70" spans="1:80" s="107" customFormat="1" ht="35.25" customHeight="1" x14ac:dyDescent="0.2">
      <c r="A70" s="22"/>
      <c r="B70" s="205" t="s">
        <v>1038</v>
      </c>
      <c r="C70" s="125" t="s">
        <v>459</v>
      </c>
      <c r="D70" s="126">
        <v>3</v>
      </c>
      <c r="E70" s="176" t="s">
        <v>1035</v>
      </c>
      <c r="F70" s="158"/>
      <c r="G70" s="159"/>
      <c r="H70" s="159"/>
      <c r="I70" s="159" t="s">
        <v>28</v>
      </c>
      <c r="J70" s="159" t="s">
        <v>28</v>
      </c>
      <c r="K70" s="159" t="s">
        <v>28</v>
      </c>
      <c r="L70" s="159" t="s">
        <v>28</v>
      </c>
      <c r="M70" s="159"/>
      <c r="N70" s="159" t="s">
        <v>28</v>
      </c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60"/>
      <c r="Z70" s="171"/>
      <c r="AA70" s="175" t="s">
        <v>1038</v>
      </c>
      <c r="AB70" s="125" t="s">
        <v>459</v>
      </c>
      <c r="AC70" s="177" t="s">
        <v>1035</v>
      </c>
      <c r="AD70" s="126" t="s">
        <v>309</v>
      </c>
      <c r="AE70" s="126">
        <v>3</v>
      </c>
      <c r="AF70" s="283"/>
      <c r="AG70" s="179">
        <v>35</v>
      </c>
      <c r="AH70" s="289"/>
      <c r="AI70" s="290"/>
      <c r="AJ70" s="290"/>
      <c r="AK70" s="290"/>
      <c r="AL70" s="290"/>
      <c r="AM70" s="290"/>
      <c r="AN70" s="290"/>
      <c r="AO70" s="290"/>
      <c r="AP70" s="290"/>
      <c r="AQ70" s="290"/>
      <c r="AR70" s="291"/>
      <c r="AS70" s="292"/>
      <c r="AT70" s="298"/>
      <c r="AU70" s="291"/>
      <c r="AV70" s="193"/>
      <c r="AW70" s="234">
        <v>4</v>
      </c>
      <c r="AX70" s="235"/>
      <c r="AY70" s="235"/>
      <c r="AZ70" s="235"/>
      <c r="BA70" s="235"/>
      <c r="BB70" s="235"/>
      <c r="BC70" s="235">
        <v>13</v>
      </c>
      <c r="BD70" s="235"/>
      <c r="BE70" s="235">
        <v>34</v>
      </c>
      <c r="BF70" s="235">
        <v>24</v>
      </c>
      <c r="BG70" s="235"/>
      <c r="BH70" s="235">
        <v>30</v>
      </c>
      <c r="BI70" s="235">
        <v>45</v>
      </c>
      <c r="BJ70" s="236">
        <v>75</v>
      </c>
      <c r="BK70" s="234">
        <v>4</v>
      </c>
      <c r="BL70" s="235"/>
      <c r="BM70" s="235"/>
      <c r="BN70" s="235"/>
      <c r="BO70" s="235"/>
      <c r="BP70" s="235"/>
      <c r="BQ70" s="235">
        <v>13</v>
      </c>
      <c r="BR70" s="235"/>
      <c r="BS70" s="235">
        <v>34</v>
      </c>
      <c r="BT70" s="235">
        <v>24</v>
      </c>
      <c r="BU70" s="235"/>
      <c r="BV70" s="235">
        <v>30</v>
      </c>
      <c r="BW70" s="235">
        <v>45</v>
      </c>
      <c r="BX70" s="237">
        <v>75</v>
      </c>
    </row>
    <row r="71" spans="1:80" s="107" customFormat="1" ht="35.25" customHeight="1" x14ac:dyDescent="0.2">
      <c r="A71" s="22"/>
      <c r="B71" s="205" t="s">
        <v>1039</v>
      </c>
      <c r="C71" s="125" t="s">
        <v>747</v>
      </c>
      <c r="D71" s="126">
        <v>6</v>
      </c>
      <c r="E71" s="176" t="s">
        <v>1035</v>
      </c>
      <c r="F71" s="158"/>
      <c r="G71" s="159" t="s">
        <v>28</v>
      </c>
      <c r="H71" s="159" t="s">
        <v>28</v>
      </c>
      <c r="I71" s="159" t="s">
        <v>28</v>
      </c>
      <c r="J71" s="159"/>
      <c r="K71" s="159"/>
      <c r="L71" s="159"/>
      <c r="M71" s="159" t="s">
        <v>28</v>
      </c>
      <c r="N71" s="159" t="s">
        <v>28</v>
      </c>
      <c r="O71" s="159"/>
      <c r="P71" s="159"/>
      <c r="Q71" s="159"/>
      <c r="R71" s="159"/>
      <c r="S71" s="159"/>
      <c r="T71" s="159"/>
      <c r="U71" s="159"/>
      <c r="V71" s="159"/>
      <c r="W71" s="159" t="s">
        <v>28</v>
      </c>
      <c r="X71" s="159"/>
      <c r="Y71" s="160"/>
      <c r="Z71" s="171"/>
      <c r="AA71" s="175" t="s">
        <v>1039</v>
      </c>
      <c r="AB71" s="125" t="s">
        <v>747</v>
      </c>
      <c r="AC71" s="177" t="s">
        <v>1035</v>
      </c>
      <c r="AD71" s="126" t="s">
        <v>309</v>
      </c>
      <c r="AE71" s="126">
        <v>6</v>
      </c>
      <c r="AF71" s="283"/>
      <c r="AG71" s="179">
        <v>32</v>
      </c>
      <c r="AH71" s="289"/>
      <c r="AI71" s="290"/>
      <c r="AJ71" s="290"/>
      <c r="AK71" s="290"/>
      <c r="AL71" s="290"/>
      <c r="AM71" s="290"/>
      <c r="AN71" s="290"/>
      <c r="AO71" s="290"/>
      <c r="AP71" s="290"/>
      <c r="AQ71" s="290"/>
      <c r="AR71" s="291"/>
      <c r="AS71" s="292"/>
      <c r="AT71" s="298"/>
      <c r="AU71" s="291"/>
      <c r="AV71" s="193"/>
      <c r="AW71" s="234">
        <v>4</v>
      </c>
      <c r="AX71" s="235"/>
      <c r="AY71" s="235">
        <v>2</v>
      </c>
      <c r="AZ71" s="235">
        <v>120</v>
      </c>
      <c r="BA71" s="235"/>
      <c r="BB71" s="235"/>
      <c r="BC71" s="235"/>
      <c r="BD71" s="235"/>
      <c r="BE71" s="235">
        <v>50</v>
      </c>
      <c r="BF71" s="235"/>
      <c r="BG71" s="235"/>
      <c r="BH71" s="235">
        <v>126</v>
      </c>
      <c r="BI71" s="235">
        <v>50</v>
      </c>
      <c r="BJ71" s="236">
        <v>176</v>
      </c>
      <c r="BK71" s="234">
        <v>4</v>
      </c>
      <c r="BL71" s="235"/>
      <c r="BM71" s="235">
        <v>2</v>
      </c>
      <c r="BN71" s="235">
        <v>120</v>
      </c>
      <c r="BO71" s="235"/>
      <c r="BP71" s="235"/>
      <c r="BQ71" s="235"/>
      <c r="BR71" s="235"/>
      <c r="BS71" s="235">
        <v>50</v>
      </c>
      <c r="BT71" s="235"/>
      <c r="BU71" s="235"/>
      <c r="BV71" s="235">
        <v>126</v>
      </c>
      <c r="BW71" s="235">
        <v>50</v>
      </c>
      <c r="BX71" s="237">
        <v>176</v>
      </c>
    </row>
    <row r="72" spans="1:80" s="107" customFormat="1" ht="35.25" customHeight="1" x14ac:dyDescent="0.2">
      <c r="A72" s="22"/>
      <c r="B72" s="205" t="s">
        <v>1040</v>
      </c>
      <c r="C72" s="125" t="s">
        <v>748</v>
      </c>
      <c r="D72" s="126">
        <v>6</v>
      </c>
      <c r="E72" s="176" t="s">
        <v>1035</v>
      </c>
      <c r="F72" s="158"/>
      <c r="G72" s="159" t="s">
        <v>28</v>
      </c>
      <c r="H72" s="159" t="s">
        <v>28</v>
      </c>
      <c r="I72" s="159" t="s">
        <v>28</v>
      </c>
      <c r="J72" s="159"/>
      <c r="K72" s="159"/>
      <c r="L72" s="159"/>
      <c r="M72" s="159" t="s">
        <v>28</v>
      </c>
      <c r="N72" s="159" t="s">
        <v>28</v>
      </c>
      <c r="O72" s="159"/>
      <c r="P72" s="159"/>
      <c r="Q72" s="159"/>
      <c r="R72" s="159"/>
      <c r="S72" s="159"/>
      <c r="T72" s="159"/>
      <c r="U72" s="159"/>
      <c r="V72" s="159"/>
      <c r="W72" s="159" t="s">
        <v>28</v>
      </c>
      <c r="X72" s="159"/>
      <c r="Y72" s="160"/>
      <c r="Z72" s="171"/>
      <c r="AA72" s="175" t="s">
        <v>1040</v>
      </c>
      <c r="AB72" s="125" t="s">
        <v>748</v>
      </c>
      <c r="AC72" s="177" t="s">
        <v>1035</v>
      </c>
      <c r="AD72" s="126" t="s">
        <v>309</v>
      </c>
      <c r="AE72" s="126">
        <v>6</v>
      </c>
      <c r="AF72" s="283"/>
      <c r="AG72" s="179">
        <v>34</v>
      </c>
      <c r="AH72" s="289"/>
      <c r="AI72" s="290"/>
      <c r="AJ72" s="290"/>
      <c r="AK72" s="290"/>
      <c r="AL72" s="290"/>
      <c r="AM72" s="290"/>
      <c r="AN72" s="290"/>
      <c r="AO72" s="290"/>
      <c r="AP72" s="290"/>
      <c r="AQ72" s="290"/>
      <c r="AR72" s="291"/>
      <c r="AS72" s="292"/>
      <c r="AT72" s="298"/>
      <c r="AU72" s="291"/>
      <c r="AV72" s="193"/>
      <c r="AW72" s="234">
        <v>4</v>
      </c>
      <c r="AX72" s="235"/>
      <c r="AY72" s="235">
        <v>2</v>
      </c>
      <c r="AZ72" s="235">
        <v>120</v>
      </c>
      <c r="BA72" s="235"/>
      <c r="BB72" s="235"/>
      <c r="BC72" s="235"/>
      <c r="BD72" s="235"/>
      <c r="BE72" s="235">
        <v>50</v>
      </c>
      <c r="BF72" s="235"/>
      <c r="BG72" s="235"/>
      <c r="BH72" s="235">
        <v>126</v>
      </c>
      <c r="BI72" s="235">
        <v>50</v>
      </c>
      <c r="BJ72" s="236">
        <v>176</v>
      </c>
      <c r="BK72" s="234">
        <v>4</v>
      </c>
      <c r="BL72" s="235"/>
      <c r="BM72" s="235">
        <v>2</v>
      </c>
      <c r="BN72" s="235">
        <v>120</v>
      </c>
      <c r="BO72" s="235"/>
      <c r="BP72" s="235"/>
      <c r="BQ72" s="235"/>
      <c r="BR72" s="235"/>
      <c r="BS72" s="235">
        <v>50</v>
      </c>
      <c r="BT72" s="235"/>
      <c r="BU72" s="235"/>
      <c r="BV72" s="235">
        <v>126</v>
      </c>
      <c r="BW72" s="235">
        <v>50</v>
      </c>
      <c r="BX72" s="237">
        <v>176</v>
      </c>
    </row>
    <row r="73" spans="1:80" s="107" customFormat="1" ht="35.25" customHeight="1" x14ac:dyDescent="0.2">
      <c r="A73" s="22"/>
      <c r="B73" s="205" t="s">
        <v>1041</v>
      </c>
      <c r="C73" s="125" t="s">
        <v>749</v>
      </c>
      <c r="D73" s="126">
        <v>6</v>
      </c>
      <c r="E73" s="176" t="s">
        <v>1035</v>
      </c>
      <c r="F73" s="158"/>
      <c r="G73" s="159" t="s">
        <v>28</v>
      </c>
      <c r="H73" s="159" t="s">
        <v>28</v>
      </c>
      <c r="I73" s="159" t="s">
        <v>28</v>
      </c>
      <c r="J73" s="159"/>
      <c r="K73" s="159"/>
      <c r="L73" s="159"/>
      <c r="M73" s="159" t="s">
        <v>28</v>
      </c>
      <c r="N73" s="159" t="s">
        <v>28</v>
      </c>
      <c r="O73" s="159"/>
      <c r="P73" s="159"/>
      <c r="Q73" s="159"/>
      <c r="R73" s="159"/>
      <c r="S73" s="159"/>
      <c r="T73" s="159"/>
      <c r="U73" s="159"/>
      <c r="V73" s="159"/>
      <c r="W73" s="159" t="s">
        <v>28</v>
      </c>
      <c r="X73" s="159"/>
      <c r="Y73" s="160"/>
      <c r="Z73" s="171"/>
      <c r="AA73" s="175" t="s">
        <v>1041</v>
      </c>
      <c r="AB73" s="125" t="s">
        <v>749</v>
      </c>
      <c r="AC73" s="177" t="s">
        <v>1035</v>
      </c>
      <c r="AD73" s="126" t="s">
        <v>309</v>
      </c>
      <c r="AE73" s="126">
        <v>6</v>
      </c>
      <c r="AF73" s="283"/>
      <c r="AG73" s="179">
        <v>33</v>
      </c>
      <c r="AH73" s="289"/>
      <c r="AI73" s="290"/>
      <c r="AJ73" s="290"/>
      <c r="AK73" s="290"/>
      <c r="AL73" s="290"/>
      <c r="AM73" s="290"/>
      <c r="AN73" s="290"/>
      <c r="AO73" s="290"/>
      <c r="AP73" s="290"/>
      <c r="AQ73" s="290"/>
      <c r="AR73" s="291"/>
      <c r="AS73" s="292"/>
      <c r="AT73" s="298"/>
      <c r="AU73" s="291"/>
      <c r="AV73" s="193"/>
      <c r="AW73" s="234">
        <v>4</v>
      </c>
      <c r="AX73" s="235"/>
      <c r="AY73" s="235">
        <v>2</v>
      </c>
      <c r="AZ73" s="235">
        <v>120</v>
      </c>
      <c r="BA73" s="235"/>
      <c r="BB73" s="235"/>
      <c r="BC73" s="235"/>
      <c r="BD73" s="235"/>
      <c r="BE73" s="235">
        <v>50</v>
      </c>
      <c r="BF73" s="235"/>
      <c r="BG73" s="235"/>
      <c r="BH73" s="235">
        <v>126</v>
      </c>
      <c r="BI73" s="235">
        <v>50</v>
      </c>
      <c r="BJ73" s="236">
        <v>176</v>
      </c>
      <c r="BK73" s="234">
        <v>4</v>
      </c>
      <c r="BL73" s="235"/>
      <c r="BM73" s="235">
        <v>2</v>
      </c>
      <c r="BN73" s="235">
        <v>120</v>
      </c>
      <c r="BO73" s="235"/>
      <c r="BP73" s="235"/>
      <c r="BQ73" s="235"/>
      <c r="BR73" s="235"/>
      <c r="BS73" s="235">
        <v>50</v>
      </c>
      <c r="BT73" s="235"/>
      <c r="BU73" s="235"/>
      <c r="BV73" s="235">
        <v>126</v>
      </c>
      <c r="BW73" s="235">
        <v>50</v>
      </c>
      <c r="BX73" s="237">
        <v>176</v>
      </c>
    </row>
    <row r="74" spans="1:80" s="107" customFormat="1" ht="35.25" customHeight="1" x14ac:dyDescent="0.2">
      <c r="A74" s="22"/>
      <c r="B74" s="205" t="s">
        <v>1042</v>
      </c>
      <c r="C74" s="125" t="s">
        <v>750</v>
      </c>
      <c r="D74" s="126">
        <v>6</v>
      </c>
      <c r="E74" s="176" t="s">
        <v>1035</v>
      </c>
      <c r="F74" s="158"/>
      <c r="G74" s="159" t="s">
        <v>28</v>
      </c>
      <c r="H74" s="159" t="s">
        <v>28</v>
      </c>
      <c r="I74" s="159" t="s">
        <v>28</v>
      </c>
      <c r="J74" s="159"/>
      <c r="K74" s="159"/>
      <c r="L74" s="159"/>
      <c r="M74" s="159" t="s">
        <v>28</v>
      </c>
      <c r="N74" s="159" t="s">
        <v>28</v>
      </c>
      <c r="O74" s="159"/>
      <c r="P74" s="159"/>
      <c r="Q74" s="159"/>
      <c r="R74" s="159"/>
      <c r="S74" s="159"/>
      <c r="T74" s="159"/>
      <c r="U74" s="159"/>
      <c r="V74" s="159"/>
      <c r="W74" s="159" t="s">
        <v>28</v>
      </c>
      <c r="X74" s="159"/>
      <c r="Y74" s="160"/>
      <c r="Z74" s="171"/>
      <c r="AA74" s="175" t="s">
        <v>1042</v>
      </c>
      <c r="AB74" s="125" t="s">
        <v>750</v>
      </c>
      <c r="AC74" s="177" t="s">
        <v>1035</v>
      </c>
      <c r="AD74" s="126" t="s">
        <v>309</v>
      </c>
      <c r="AE74" s="126">
        <v>6</v>
      </c>
      <c r="AF74" s="283"/>
      <c r="AG74" s="179">
        <v>35</v>
      </c>
      <c r="AH74" s="289"/>
      <c r="AI74" s="290"/>
      <c r="AJ74" s="290"/>
      <c r="AK74" s="290"/>
      <c r="AL74" s="290"/>
      <c r="AM74" s="290"/>
      <c r="AN74" s="290"/>
      <c r="AO74" s="290"/>
      <c r="AP74" s="290"/>
      <c r="AQ74" s="290"/>
      <c r="AR74" s="291"/>
      <c r="AS74" s="292"/>
      <c r="AT74" s="298"/>
      <c r="AU74" s="291"/>
      <c r="AV74" s="193"/>
      <c r="AW74" s="234">
        <v>4</v>
      </c>
      <c r="AX74" s="235"/>
      <c r="AY74" s="235">
        <v>2</v>
      </c>
      <c r="AZ74" s="235">
        <v>120</v>
      </c>
      <c r="BA74" s="235"/>
      <c r="BB74" s="235"/>
      <c r="BC74" s="235"/>
      <c r="BD74" s="235"/>
      <c r="BE74" s="235">
        <v>50</v>
      </c>
      <c r="BF74" s="235"/>
      <c r="BG74" s="235"/>
      <c r="BH74" s="235">
        <v>126</v>
      </c>
      <c r="BI74" s="235">
        <v>50</v>
      </c>
      <c r="BJ74" s="236">
        <v>176</v>
      </c>
      <c r="BK74" s="234">
        <v>4</v>
      </c>
      <c r="BL74" s="235"/>
      <c r="BM74" s="235">
        <v>2</v>
      </c>
      <c r="BN74" s="235">
        <v>120</v>
      </c>
      <c r="BO74" s="235"/>
      <c r="BP74" s="235"/>
      <c r="BQ74" s="235"/>
      <c r="BR74" s="235"/>
      <c r="BS74" s="235">
        <v>50</v>
      </c>
      <c r="BT74" s="235"/>
      <c r="BU74" s="235"/>
      <c r="BV74" s="235">
        <v>126</v>
      </c>
      <c r="BW74" s="235">
        <v>50</v>
      </c>
      <c r="BX74" s="237">
        <v>176</v>
      </c>
    </row>
    <row r="75" spans="1:80" s="107" customFormat="1" ht="35.25" customHeight="1" x14ac:dyDescent="0.2">
      <c r="A75" s="22"/>
      <c r="B75" s="205" t="s">
        <v>1043</v>
      </c>
      <c r="C75" s="125" t="s">
        <v>751</v>
      </c>
      <c r="D75" s="126">
        <v>6</v>
      </c>
      <c r="E75" s="176" t="s">
        <v>1035</v>
      </c>
      <c r="F75" s="158"/>
      <c r="G75" s="159" t="s">
        <v>28</v>
      </c>
      <c r="H75" s="159" t="s">
        <v>28</v>
      </c>
      <c r="I75" s="159" t="s">
        <v>28</v>
      </c>
      <c r="J75" s="159"/>
      <c r="K75" s="159"/>
      <c r="L75" s="159"/>
      <c r="M75" s="159" t="s">
        <v>28</v>
      </c>
      <c r="N75" s="159" t="s">
        <v>28</v>
      </c>
      <c r="O75" s="159"/>
      <c r="P75" s="159"/>
      <c r="Q75" s="159"/>
      <c r="R75" s="159"/>
      <c r="S75" s="159"/>
      <c r="T75" s="159"/>
      <c r="U75" s="159"/>
      <c r="V75" s="159"/>
      <c r="W75" s="159" t="s">
        <v>28</v>
      </c>
      <c r="X75" s="159"/>
      <c r="Y75" s="160"/>
      <c r="Z75" s="171"/>
      <c r="AA75" s="175" t="s">
        <v>1043</v>
      </c>
      <c r="AB75" s="125" t="s">
        <v>751</v>
      </c>
      <c r="AC75" s="177" t="s">
        <v>1035</v>
      </c>
      <c r="AD75" s="126" t="s">
        <v>309</v>
      </c>
      <c r="AE75" s="126">
        <v>6</v>
      </c>
      <c r="AF75" s="283"/>
      <c r="AG75" s="179">
        <v>33</v>
      </c>
      <c r="AH75" s="289"/>
      <c r="AI75" s="290"/>
      <c r="AJ75" s="290"/>
      <c r="AK75" s="290"/>
      <c r="AL75" s="290"/>
      <c r="AM75" s="290"/>
      <c r="AN75" s="290"/>
      <c r="AO75" s="290"/>
      <c r="AP75" s="290"/>
      <c r="AQ75" s="290"/>
      <c r="AR75" s="291"/>
      <c r="AS75" s="292"/>
      <c r="AT75" s="298"/>
      <c r="AU75" s="291"/>
      <c r="AV75" s="193"/>
      <c r="AW75" s="234">
        <v>4</v>
      </c>
      <c r="AX75" s="235"/>
      <c r="AY75" s="235">
        <v>2</v>
      </c>
      <c r="AZ75" s="235">
        <v>120</v>
      </c>
      <c r="BA75" s="235"/>
      <c r="BB75" s="235"/>
      <c r="BC75" s="235"/>
      <c r="BD75" s="235"/>
      <c r="BE75" s="235">
        <v>50</v>
      </c>
      <c r="BF75" s="235"/>
      <c r="BG75" s="235"/>
      <c r="BH75" s="235">
        <v>126</v>
      </c>
      <c r="BI75" s="235">
        <v>50</v>
      </c>
      <c r="BJ75" s="236">
        <v>176</v>
      </c>
      <c r="BK75" s="234">
        <v>4</v>
      </c>
      <c r="BL75" s="235"/>
      <c r="BM75" s="235">
        <v>2</v>
      </c>
      <c r="BN75" s="235">
        <v>120</v>
      </c>
      <c r="BO75" s="235"/>
      <c r="BP75" s="235"/>
      <c r="BQ75" s="235"/>
      <c r="BR75" s="235"/>
      <c r="BS75" s="235">
        <v>50</v>
      </c>
      <c r="BT75" s="235"/>
      <c r="BU75" s="235"/>
      <c r="BV75" s="235">
        <v>126</v>
      </c>
      <c r="BW75" s="235">
        <v>50</v>
      </c>
      <c r="BX75" s="237">
        <v>176</v>
      </c>
    </row>
    <row r="76" spans="1:80" s="107" customFormat="1" ht="35.25" customHeight="1" x14ac:dyDescent="0.2">
      <c r="A76" s="22"/>
      <c r="B76" s="205" t="s">
        <v>1044</v>
      </c>
      <c r="C76" s="125" t="s">
        <v>752</v>
      </c>
      <c r="D76" s="126">
        <v>6</v>
      </c>
      <c r="E76" s="176" t="s">
        <v>1035</v>
      </c>
      <c r="F76" s="158"/>
      <c r="G76" s="159" t="s">
        <v>28</v>
      </c>
      <c r="H76" s="159"/>
      <c r="I76" s="159"/>
      <c r="J76" s="159"/>
      <c r="K76" s="159" t="s">
        <v>28</v>
      </c>
      <c r="L76" s="159"/>
      <c r="M76" s="159" t="s">
        <v>28</v>
      </c>
      <c r="N76" s="159"/>
      <c r="O76" s="159" t="s">
        <v>28</v>
      </c>
      <c r="P76" s="159"/>
      <c r="Q76" s="159"/>
      <c r="R76" s="159" t="s">
        <v>28</v>
      </c>
      <c r="S76" s="159"/>
      <c r="T76" s="159"/>
      <c r="U76" s="159"/>
      <c r="V76" s="159"/>
      <c r="W76" s="159"/>
      <c r="X76" s="159"/>
      <c r="Y76" s="160" t="s">
        <v>28</v>
      </c>
      <c r="Z76" s="171"/>
      <c r="AA76" s="175" t="s">
        <v>1044</v>
      </c>
      <c r="AB76" s="125" t="s">
        <v>752</v>
      </c>
      <c r="AC76" s="177" t="s">
        <v>1035</v>
      </c>
      <c r="AD76" s="126" t="s">
        <v>309</v>
      </c>
      <c r="AE76" s="126">
        <v>6</v>
      </c>
      <c r="AF76" s="283"/>
      <c r="AG76" s="179">
        <v>34</v>
      </c>
      <c r="AH76" s="289"/>
      <c r="AI76" s="290"/>
      <c r="AJ76" s="290"/>
      <c r="AK76" s="290"/>
      <c r="AL76" s="290"/>
      <c r="AM76" s="290"/>
      <c r="AN76" s="290"/>
      <c r="AO76" s="290"/>
      <c r="AP76" s="290"/>
      <c r="AQ76" s="290"/>
      <c r="AR76" s="291"/>
      <c r="AS76" s="292"/>
      <c r="AT76" s="298"/>
      <c r="AU76" s="291"/>
      <c r="AV76" s="193"/>
      <c r="AW76" s="234">
        <v>2</v>
      </c>
      <c r="AX76" s="235"/>
      <c r="AY76" s="235">
        <v>14</v>
      </c>
      <c r="AZ76" s="235"/>
      <c r="BA76" s="235">
        <v>36</v>
      </c>
      <c r="BB76" s="235"/>
      <c r="BC76" s="235"/>
      <c r="BD76" s="235"/>
      <c r="BE76" s="235">
        <v>98</v>
      </c>
      <c r="BF76" s="235"/>
      <c r="BG76" s="235"/>
      <c r="BH76" s="235">
        <v>20</v>
      </c>
      <c r="BI76" s="235">
        <v>130</v>
      </c>
      <c r="BJ76" s="236">
        <v>150</v>
      </c>
      <c r="BK76" s="234">
        <v>2</v>
      </c>
      <c r="BL76" s="235"/>
      <c r="BM76" s="235">
        <v>14</v>
      </c>
      <c r="BN76" s="235"/>
      <c r="BO76" s="235">
        <v>36</v>
      </c>
      <c r="BP76" s="235"/>
      <c r="BQ76" s="235"/>
      <c r="BR76" s="235"/>
      <c r="BS76" s="235">
        <v>98</v>
      </c>
      <c r="BT76" s="235"/>
      <c r="BU76" s="235"/>
      <c r="BV76" s="235">
        <v>20</v>
      </c>
      <c r="BW76" s="235">
        <v>130</v>
      </c>
      <c r="BX76" s="237">
        <v>150</v>
      </c>
    </row>
    <row r="77" spans="1:80" s="107" customFormat="1" ht="35.25" customHeight="1" x14ac:dyDescent="0.2">
      <c r="A77" s="22"/>
      <c r="B77" s="205">
        <v>37204223</v>
      </c>
      <c r="C77" s="125" t="s">
        <v>465</v>
      </c>
      <c r="D77" s="126">
        <v>3</v>
      </c>
      <c r="E77" s="176" t="s">
        <v>1035</v>
      </c>
      <c r="F77" s="158" t="s">
        <v>28</v>
      </c>
      <c r="G77" s="159"/>
      <c r="H77" s="159"/>
      <c r="I77" s="159" t="s">
        <v>28</v>
      </c>
      <c r="J77" s="159" t="s">
        <v>28</v>
      </c>
      <c r="K77" s="159" t="s">
        <v>28</v>
      </c>
      <c r="L77" s="159"/>
      <c r="M77" s="159"/>
      <c r="N77" s="159"/>
      <c r="O77" s="159" t="s">
        <v>28</v>
      </c>
      <c r="P77" s="159"/>
      <c r="Q77" s="159"/>
      <c r="R77" s="159"/>
      <c r="S77" s="159"/>
      <c r="T77" s="159" t="s">
        <v>28</v>
      </c>
      <c r="U77" s="159"/>
      <c r="V77" s="159"/>
      <c r="W77" s="159"/>
      <c r="X77" s="159"/>
      <c r="Y77" s="160"/>
      <c r="Z77" s="171"/>
      <c r="AA77" s="175">
        <v>37204223</v>
      </c>
      <c r="AB77" s="125" t="s">
        <v>465</v>
      </c>
      <c r="AC77" s="177" t="s">
        <v>1035</v>
      </c>
      <c r="AD77" s="126" t="s">
        <v>309</v>
      </c>
      <c r="AE77" s="126">
        <v>3</v>
      </c>
      <c r="AF77" s="283"/>
      <c r="AG77" s="179">
        <v>25</v>
      </c>
      <c r="AH77" s="289"/>
      <c r="AI77" s="290"/>
      <c r="AJ77" s="290"/>
      <c r="AK77" s="290"/>
      <c r="AL77" s="290"/>
      <c r="AM77" s="290"/>
      <c r="AN77" s="290"/>
      <c r="AO77" s="290"/>
      <c r="AP77" s="290"/>
      <c r="AQ77" s="290"/>
      <c r="AR77" s="291"/>
      <c r="AS77" s="292"/>
      <c r="AT77" s="298"/>
      <c r="AU77" s="291"/>
      <c r="AV77" s="193"/>
      <c r="AW77" s="234">
        <v>2</v>
      </c>
      <c r="AX77" s="235"/>
      <c r="AY77" s="235"/>
      <c r="AZ77" s="235">
        <v>48</v>
      </c>
      <c r="BA77" s="235"/>
      <c r="BB77" s="235"/>
      <c r="BC77" s="235">
        <v>12</v>
      </c>
      <c r="BD77" s="235"/>
      <c r="BE77" s="235"/>
      <c r="BF77" s="235">
        <v>9</v>
      </c>
      <c r="BG77" s="235">
        <v>4</v>
      </c>
      <c r="BH77" s="235">
        <v>30</v>
      </c>
      <c r="BI77" s="235">
        <v>45</v>
      </c>
      <c r="BJ77" s="236">
        <v>75</v>
      </c>
      <c r="BK77" s="234">
        <v>2</v>
      </c>
      <c r="BL77" s="235"/>
      <c r="BM77" s="235"/>
      <c r="BN77" s="235">
        <v>48</v>
      </c>
      <c r="BO77" s="235"/>
      <c r="BP77" s="235"/>
      <c r="BQ77" s="235">
        <v>12</v>
      </c>
      <c r="BR77" s="235"/>
      <c r="BS77" s="235"/>
      <c r="BT77" s="235">
        <v>9</v>
      </c>
      <c r="BU77" s="235">
        <v>4</v>
      </c>
      <c r="BV77" s="235">
        <v>30</v>
      </c>
      <c r="BW77" s="235">
        <v>45</v>
      </c>
      <c r="BX77" s="237">
        <v>75</v>
      </c>
    </row>
    <row r="78" spans="1:80" s="107" customFormat="1" ht="35.25" customHeight="1" x14ac:dyDescent="0.2">
      <c r="A78" s="22"/>
      <c r="B78" s="205" t="s">
        <v>1045</v>
      </c>
      <c r="C78" s="125" t="s">
        <v>466</v>
      </c>
      <c r="D78" s="126">
        <v>3</v>
      </c>
      <c r="E78" s="176" t="s">
        <v>1035</v>
      </c>
      <c r="F78" s="158" t="s">
        <v>28</v>
      </c>
      <c r="G78" s="159" t="s">
        <v>28</v>
      </c>
      <c r="H78" s="159"/>
      <c r="I78" s="159" t="s">
        <v>28</v>
      </c>
      <c r="J78" s="159" t="s">
        <v>28</v>
      </c>
      <c r="K78" s="159"/>
      <c r="L78" s="159"/>
      <c r="M78" s="159"/>
      <c r="N78" s="159" t="s">
        <v>28</v>
      </c>
      <c r="O78" s="159"/>
      <c r="P78" s="159" t="s">
        <v>28</v>
      </c>
      <c r="Q78" s="159"/>
      <c r="R78" s="159"/>
      <c r="S78" s="159"/>
      <c r="T78" s="159"/>
      <c r="U78" s="159"/>
      <c r="V78" s="159"/>
      <c r="W78" s="159"/>
      <c r="X78" s="159"/>
      <c r="Y78" s="160"/>
      <c r="Z78" s="171"/>
      <c r="AA78" s="175" t="s">
        <v>1045</v>
      </c>
      <c r="AB78" s="125" t="s">
        <v>466</v>
      </c>
      <c r="AC78" s="177" t="s">
        <v>1035</v>
      </c>
      <c r="AD78" s="126" t="s">
        <v>309</v>
      </c>
      <c r="AE78" s="126">
        <v>3</v>
      </c>
      <c r="AF78" s="283"/>
      <c r="AG78" s="179">
        <v>20</v>
      </c>
      <c r="AH78" s="289"/>
      <c r="AI78" s="290"/>
      <c r="AJ78" s="290"/>
      <c r="AK78" s="290"/>
      <c r="AL78" s="290"/>
      <c r="AM78" s="290"/>
      <c r="AN78" s="290"/>
      <c r="AO78" s="290"/>
      <c r="AP78" s="290"/>
      <c r="AQ78" s="290"/>
      <c r="AR78" s="291"/>
      <c r="AS78" s="292"/>
      <c r="AT78" s="298"/>
      <c r="AU78" s="291"/>
      <c r="AV78" s="193"/>
      <c r="AW78" s="234">
        <v>1</v>
      </c>
      <c r="AX78" s="235"/>
      <c r="AY78" s="235">
        <v>2</v>
      </c>
      <c r="AZ78" s="235">
        <v>120</v>
      </c>
      <c r="BA78" s="235"/>
      <c r="BB78" s="235"/>
      <c r="BC78" s="235">
        <v>2</v>
      </c>
      <c r="BD78" s="235"/>
      <c r="BE78" s="235">
        <v>11</v>
      </c>
      <c r="BF78" s="235"/>
      <c r="BG78" s="235">
        <v>39</v>
      </c>
      <c r="BH78" s="235">
        <v>34</v>
      </c>
      <c r="BI78" s="235">
        <v>41</v>
      </c>
      <c r="BJ78" s="236">
        <v>75</v>
      </c>
      <c r="BK78" s="234">
        <v>1</v>
      </c>
      <c r="BL78" s="235"/>
      <c r="BM78" s="235">
        <v>2</v>
      </c>
      <c r="BN78" s="235">
        <v>120</v>
      </c>
      <c r="BO78" s="235"/>
      <c r="BP78" s="235"/>
      <c r="BQ78" s="235">
        <v>2</v>
      </c>
      <c r="BR78" s="235"/>
      <c r="BS78" s="235">
        <v>11</v>
      </c>
      <c r="BT78" s="235"/>
      <c r="BU78" s="235">
        <v>39</v>
      </c>
      <c r="BV78" s="235">
        <v>34</v>
      </c>
      <c r="BW78" s="235">
        <v>41</v>
      </c>
      <c r="BX78" s="237">
        <v>75</v>
      </c>
    </row>
    <row r="79" spans="1:80" s="107" customFormat="1" ht="35.25" customHeight="1" x14ac:dyDescent="0.2">
      <c r="A79" s="22"/>
      <c r="B79" s="205" t="s">
        <v>1046</v>
      </c>
      <c r="C79" s="125" t="s">
        <v>467</v>
      </c>
      <c r="D79" s="126">
        <v>3</v>
      </c>
      <c r="E79" s="176" t="s">
        <v>1035</v>
      </c>
      <c r="F79" s="158" t="s">
        <v>28</v>
      </c>
      <c r="G79" s="159" t="s">
        <v>28</v>
      </c>
      <c r="H79" s="159"/>
      <c r="I79" s="159" t="s">
        <v>28</v>
      </c>
      <c r="J79" s="159"/>
      <c r="K79" s="159"/>
      <c r="L79" s="159"/>
      <c r="M79" s="159"/>
      <c r="N79" s="159" t="s">
        <v>28</v>
      </c>
      <c r="O79" s="159"/>
      <c r="P79" s="159"/>
      <c r="Q79" s="159"/>
      <c r="R79" s="159"/>
      <c r="S79" s="159"/>
      <c r="T79" s="159"/>
      <c r="U79" s="159"/>
      <c r="V79" s="159"/>
      <c r="W79" s="159"/>
      <c r="X79" s="159" t="s">
        <v>28</v>
      </c>
      <c r="Y79" s="160"/>
      <c r="Z79" s="171"/>
      <c r="AA79" s="175" t="s">
        <v>1046</v>
      </c>
      <c r="AB79" s="125" t="s">
        <v>467</v>
      </c>
      <c r="AC79" s="177" t="s">
        <v>1035</v>
      </c>
      <c r="AD79" s="126" t="s">
        <v>309</v>
      </c>
      <c r="AE79" s="126">
        <v>3</v>
      </c>
      <c r="AF79" s="283"/>
      <c r="AG79" s="179">
        <v>23</v>
      </c>
      <c r="AH79" s="289"/>
      <c r="AI79" s="290"/>
      <c r="AJ79" s="290"/>
      <c r="AK79" s="290"/>
      <c r="AL79" s="290"/>
      <c r="AM79" s="290"/>
      <c r="AN79" s="290"/>
      <c r="AO79" s="290"/>
      <c r="AP79" s="290"/>
      <c r="AQ79" s="290"/>
      <c r="AR79" s="291"/>
      <c r="AS79" s="292"/>
      <c r="AT79" s="298"/>
      <c r="AU79" s="291"/>
      <c r="AV79" s="193"/>
      <c r="AW79" s="234"/>
      <c r="AX79" s="235"/>
      <c r="AY79" s="235">
        <v>2</v>
      </c>
      <c r="AZ79" s="235">
        <v>25</v>
      </c>
      <c r="BA79" s="235">
        <v>6</v>
      </c>
      <c r="BB79" s="235"/>
      <c r="BC79" s="235"/>
      <c r="BD79" s="235"/>
      <c r="BE79" s="235">
        <v>29</v>
      </c>
      <c r="BF79" s="235"/>
      <c r="BG79" s="235">
        <v>13</v>
      </c>
      <c r="BH79" s="235">
        <v>28</v>
      </c>
      <c r="BI79" s="235">
        <v>47</v>
      </c>
      <c r="BJ79" s="236">
        <v>75</v>
      </c>
      <c r="BK79" s="234"/>
      <c r="BL79" s="235"/>
      <c r="BM79" s="235">
        <v>2</v>
      </c>
      <c r="BN79" s="235">
        <v>25</v>
      </c>
      <c r="BO79" s="235">
        <v>6</v>
      </c>
      <c r="BP79" s="235"/>
      <c r="BQ79" s="235"/>
      <c r="BR79" s="235"/>
      <c r="BS79" s="235">
        <v>29</v>
      </c>
      <c r="BT79" s="235"/>
      <c r="BU79" s="235">
        <v>13</v>
      </c>
      <c r="BV79" s="235">
        <v>28</v>
      </c>
      <c r="BW79" s="235">
        <v>47</v>
      </c>
      <c r="BX79" s="237">
        <v>75</v>
      </c>
    </row>
    <row r="80" spans="1:80" s="107" customFormat="1" ht="35.25" customHeight="1" x14ac:dyDescent="0.15">
      <c r="B80" s="205">
        <v>37204209</v>
      </c>
      <c r="C80" s="125" t="s">
        <v>468</v>
      </c>
      <c r="D80" s="126">
        <v>3</v>
      </c>
      <c r="E80" s="176" t="s">
        <v>1035</v>
      </c>
      <c r="F80" s="158" t="s">
        <v>28</v>
      </c>
      <c r="G80" s="159"/>
      <c r="H80" s="159"/>
      <c r="I80" s="159" t="s">
        <v>28</v>
      </c>
      <c r="J80" s="159" t="s">
        <v>28</v>
      </c>
      <c r="K80" s="159" t="s">
        <v>28</v>
      </c>
      <c r="L80" s="159"/>
      <c r="M80" s="159"/>
      <c r="N80" s="159"/>
      <c r="O80" s="159" t="s">
        <v>28</v>
      </c>
      <c r="P80" s="159"/>
      <c r="Q80" s="159"/>
      <c r="R80" s="159"/>
      <c r="S80" s="159"/>
      <c r="T80" s="159" t="s">
        <v>28</v>
      </c>
      <c r="U80" s="159"/>
      <c r="V80" s="159"/>
      <c r="W80" s="159"/>
      <c r="X80" s="159"/>
      <c r="Y80" s="160"/>
      <c r="Z80" s="171"/>
      <c r="AA80" s="175">
        <v>37204209</v>
      </c>
      <c r="AB80" s="125" t="s">
        <v>468</v>
      </c>
      <c r="AC80" s="177" t="s">
        <v>1035</v>
      </c>
      <c r="AD80" s="126" t="s">
        <v>309</v>
      </c>
      <c r="AE80" s="126">
        <v>3</v>
      </c>
      <c r="AF80" s="283"/>
      <c r="AG80" s="179">
        <v>23</v>
      </c>
      <c r="AH80" s="289"/>
      <c r="AI80" s="290"/>
      <c r="AJ80" s="290"/>
      <c r="AK80" s="290"/>
      <c r="AL80" s="290"/>
      <c r="AM80" s="290"/>
      <c r="AN80" s="290"/>
      <c r="AO80" s="290"/>
      <c r="AP80" s="290"/>
      <c r="AQ80" s="290"/>
      <c r="AR80" s="291"/>
      <c r="AS80" s="292"/>
      <c r="AT80" s="298"/>
      <c r="AU80" s="291"/>
      <c r="AV80" s="193"/>
      <c r="AW80" s="234">
        <v>2</v>
      </c>
      <c r="AX80" s="235"/>
      <c r="AY80" s="235"/>
      <c r="AZ80" s="235">
        <v>48</v>
      </c>
      <c r="BA80" s="235"/>
      <c r="BB80" s="235"/>
      <c r="BC80" s="235">
        <v>12</v>
      </c>
      <c r="BD80" s="235"/>
      <c r="BE80" s="235"/>
      <c r="BF80" s="235">
        <v>9</v>
      </c>
      <c r="BG80" s="235">
        <v>4</v>
      </c>
      <c r="BH80" s="235">
        <v>30</v>
      </c>
      <c r="BI80" s="235">
        <v>45</v>
      </c>
      <c r="BJ80" s="236">
        <v>75</v>
      </c>
      <c r="BK80" s="234">
        <v>2</v>
      </c>
      <c r="BL80" s="235"/>
      <c r="BM80" s="235"/>
      <c r="BN80" s="235">
        <v>48</v>
      </c>
      <c r="BO80" s="235"/>
      <c r="BP80" s="235"/>
      <c r="BQ80" s="235">
        <v>12</v>
      </c>
      <c r="BR80" s="235"/>
      <c r="BS80" s="235"/>
      <c r="BT80" s="235">
        <v>9</v>
      </c>
      <c r="BU80" s="235">
        <v>4</v>
      </c>
      <c r="BV80" s="235">
        <v>30</v>
      </c>
      <c r="BW80" s="235">
        <v>45</v>
      </c>
      <c r="BX80" s="237">
        <v>75</v>
      </c>
    </row>
    <row r="81" spans="2:76" s="107" customFormat="1" ht="35.25" customHeight="1" x14ac:dyDescent="0.15">
      <c r="B81" s="205">
        <v>37204222</v>
      </c>
      <c r="C81" s="125" t="s">
        <v>753</v>
      </c>
      <c r="D81" s="126">
        <v>3</v>
      </c>
      <c r="E81" s="176" t="s">
        <v>1035</v>
      </c>
      <c r="F81" s="158" t="s">
        <v>28</v>
      </c>
      <c r="G81" s="159"/>
      <c r="H81" s="159"/>
      <c r="I81" s="159" t="s">
        <v>28</v>
      </c>
      <c r="J81" s="159" t="s">
        <v>28</v>
      </c>
      <c r="K81" s="159" t="s">
        <v>28</v>
      </c>
      <c r="L81" s="159"/>
      <c r="M81" s="159"/>
      <c r="N81" s="159"/>
      <c r="O81" s="159" t="s">
        <v>28</v>
      </c>
      <c r="P81" s="159" t="s">
        <v>28</v>
      </c>
      <c r="Q81" s="159"/>
      <c r="R81" s="159"/>
      <c r="S81" s="159"/>
      <c r="T81" s="159" t="s">
        <v>28</v>
      </c>
      <c r="U81" s="159"/>
      <c r="V81" s="159"/>
      <c r="W81" s="159"/>
      <c r="X81" s="159"/>
      <c r="Y81" s="160"/>
      <c r="Z81" s="171"/>
      <c r="AA81" s="175">
        <v>37204222</v>
      </c>
      <c r="AB81" s="125" t="s">
        <v>753</v>
      </c>
      <c r="AC81" s="177" t="s">
        <v>1035</v>
      </c>
      <c r="AD81" s="126" t="s">
        <v>309</v>
      </c>
      <c r="AE81" s="126">
        <v>3</v>
      </c>
      <c r="AF81" s="283"/>
      <c r="AG81" s="179">
        <v>24</v>
      </c>
      <c r="AH81" s="289"/>
      <c r="AI81" s="290"/>
      <c r="AJ81" s="290"/>
      <c r="AK81" s="290"/>
      <c r="AL81" s="290"/>
      <c r="AM81" s="290"/>
      <c r="AN81" s="290"/>
      <c r="AO81" s="290"/>
      <c r="AP81" s="290"/>
      <c r="AQ81" s="290"/>
      <c r="AR81" s="291"/>
      <c r="AS81" s="292"/>
      <c r="AT81" s="298"/>
      <c r="AU81" s="291"/>
      <c r="AV81" s="193"/>
      <c r="AW81" s="234">
        <v>2</v>
      </c>
      <c r="AX81" s="235"/>
      <c r="AY81" s="235"/>
      <c r="AZ81" s="235">
        <v>48</v>
      </c>
      <c r="BA81" s="235"/>
      <c r="BB81" s="235"/>
      <c r="BC81" s="235">
        <v>12</v>
      </c>
      <c r="BD81" s="235"/>
      <c r="BE81" s="235"/>
      <c r="BF81" s="235">
        <v>9</v>
      </c>
      <c r="BG81" s="235">
        <v>4</v>
      </c>
      <c r="BH81" s="235">
        <v>30</v>
      </c>
      <c r="BI81" s="235">
        <v>45</v>
      </c>
      <c r="BJ81" s="236">
        <v>75</v>
      </c>
      <c r="BK81" s="234">
        <v>2</v>
      </c>
      <c r="BL81" s="235"/>
      <c r="BM81" s="235"/>
      <c r="BN81" s="235">
        <v>48</v>
      </c>
      <c r="BO81" s="235"/>
      <c r="BP81" s="235"/>
      <c r="BQ81" s="235">
        <v>12</v>
      </c>
      <c r="BR81" s="235"/>
      <c r="BS81" s="235"/>
      <c r="BT81" s="235">
        <v>9</v>
      </c>
      <c r="BU81" s="235">
        <v>4</v>
      </c>
      <c r="BV81" s="235">
        <v>30</v>
      </c>
      <c r="BW81" s="235">
        <v>45</v>
      </c>
      <c r="BX81" s="237">
        <v>75</v>
      </c>
    </row>
    <row r="82" spans="2:76" s="107" customFormat="1" ht="13.5" thickBot="1" x14ac:dyDescent="0.2">
      <c r="B82" s="206" t="s">
        <v>1047</v>
      </c>
      <c r="C82" s="138" t="s">
        <v>754</v>
      </c>
      <c r="D82" s="139">
        <v>3</v>
      </c>
      <c r="E82" s="182" t="s">
        <v>1035</v>
      </c>
      <c r="F82" s="163" t="s">
        <v>28</v>
      </c>
      <c r="G82" s="164"/>
      <c r="H82" s="164"/>
      <c r="I82" s="164" t="s">
        <v>28</v>
      </c>
      <c r="J82" s="164" t="s">
        <v>28</v>
      </c>
      <c r="K82" s="164" t="s">
        <v>28</v>
      </c>
      <c r="L82" s="164"/>
      <c r="M82" s="164" t="s">
        <v>28</v>
      </c>
      <c r="N82" s="164" t="s">
        <v>28</v>
      </c>
      <c r="O82" s="164"/>
      <c r="P82" s="164" t="s">
        <v>28</v>
      </c>
      <c r="Q82" s="164"/>
      <c r="R82" s="164"/>
      <c r="S82" s="164"/>
      <c r="T82" s="164"/>
      <c r="U82" s="164"/>
      <c r="V82" s="164"/>
      <c r="W82" s="164"/>
      <c r="X82" s="164" t="s">
        <v>28</v>
      </c>
      <c r="Y82" s="165"/>
      <c r="Z82" s="171"/>
      <c r="AA82" s="181" t="s">
        <v>1047</v>
      </c>
      <c r="AB82" s="138" t="s">
        <v>754</v>
      </c>
      <c r="AC82" s="183" t="s">
        <v>1035</v>
      </c>
      <c r="AD82" s="139" t="s">
        <v>309</v>
      </c>
      <c r="AE82" s="139">
        <v>3</v>
      </c>
      <c r="AF82" s="284"/>
      <c r="AG82" s="247">
        <v>22</v>
      </c>
      <c r="AH82" s="293"/>
      <c r="AI82" s="294"/>
      <c r="AJ82" s="294"/>
      <c r="AK82" s="294"/>
      <c r="AL82" s="294"/>
      <c r="AM82" s="294"/>
      <c r="AN82" s="294"/>
      <c r="AO82" s="294"/>
      <c r="AP82" s="294"/>
      <c r="AQ82" s="294"/>
      <c r="AR82" s="295"/>
      <c r="AS82" s="296"/>
      <c r="AT82" s="294"/>
      <c r="AU82" s="295"/>
      <c r="AV82" s="193"/>
      <c r="AW82" s="244"/>
      <c r="AX82" s="245"/>
      <c r="AY82" s="245">
        <v>5</v>
      </c>
      <c r="AZ82" s="245"/>
      <c r="BA82" s="245">
        <v>25</v>
      </c>
      <c r="BB82" s="245"/>
      <c r="BC82" s="245">
        <v>5</v>
      </c>
      <c r="BD82" s="245">
        <v>20</v>
      </c>
      <c r="BE82" s="245">
        <v>10</v>
      </c>
      <c r="BF82" s="245"/>
      <c r="BG82" s="245">
        <v>10</v>
      </c>
      <c r="BH82" s="245">
        <v>32.5</v>
      </c>
      <c r="BI82" s="245">
        <v>42.5</v>
      </c>
      <c r="BJ82" s="246">
        <v>75</v>
      </c>
      <c r="BK82" s="244"/>
      <c r="BL82" s="245"/>
      <c r="BM82" s="245">
        <v>5</v>
      </c>
      <c r="BN82" s="245"/>
      <c r="BO82" s="245">
        <v>25</v>
      </c>
      <c r="BP82" s="245"/>
      <c r="BQ82" s="245">
        <v>5</v>
      </c>
      <c r="BR82" s="245">
        <v>20</v>
      </c>
      <c r="BS82" s="245">
        <v>10</v>
      </c>
      <c r="BT82" s="245"/>
      <c r="BU82" s="245">
        <v>10</v>
      </c>
      <c r="BV82" s="245">
        <v>32.5</v>
      </c>
      <c r="BW82" s="245">
        <v>42.5</v>
      </c>
      <c r="BX82" s="247">
        <v>75</v>
      </c>
    </row>
    <row r="83" spans="2:76" ht="13.5" thickBot="1" x14ac:dyDescent="0.25">
      <c r="B83" s="199" t="s">
        <v>1048</v>
      </c>
      <c r="C83" s="193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17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227">
        <f>SUM(AS68:AS82)</f>
        <v>0</v>
      </c>
      <c r="AT83" s="227">
        <f>SUM(AT68:AT82)</f>
        <v>0</v>
      </c>
      <c r="AU83" s="227">
        <f>SUM(AU68:AU82)</f>
        <v>0</v>
      </c>
      <c r="AV83" s="191"/>
      <c r="AW83" s="191"/>
      <c r="AX83" s="191"/>
      <c r="AY83" s="191"/>
      <c r="AZ83" s="191"/>
      <c r="BA83" s="191"/>
      <c r="BB83" s="191"/>
      <c r="BC83" s="191"/>
      <c r="BD83" s="191"/>
      <c r="BE83" s="191"/>
      <c r="BF83" s="191"/>
      <c r="BG83" s="191"/>
      <c r="BH83" s="227">
        <f>SUM(BH67:BH82)</f>
        <v>959.5</v>
      </c>
      <c r="BI83" s="227">
        <f>SUM(BI67:BI82)</f>
        <v>820.5</v>
      </c>
      <c r="BJ83" s="227">
        <f>SUM(BJ67:BJ82)</f>
        <v>1780</v>
      </c>
      <c r="BK83" s="191"/>
      <c r="BL83" s="191"/>
      <c r="BM83" s="191"/>
      <c r="BN83" s="191"/>
      <c r="BO83" s="191"/>
      <c r="BP83" s="191"/>
      <c r="BQ83" s="191"/>
      <c r="BR83" s="191"/>
      <c r="BS83" s="191"/>
      <c r="BT83" s="191"/>
      <c r="BU83" s="191"/>
      <c r="BV83" s="227">
        <f>SUM(BV67:BV82)</f>
        <v>959.5</v>
      </c>
      <c r="BW83" s="227">
        <f>SUM(BW67:BW82)</f>
        <v>820.5</v>
      </c>
      <c r="BX83" s="227">
        <f>SUM(BX67:BX82)</f>
        <v>1780</v>
      </c>
    </row>
    <row r="84" spans="2:76" ht="13.5" thickBot="1" x14ac:dyDescent="0.25">
      <c r="B84" s="199" t="s">
        <v>80</v>
      </c>
      <c r="C84" s="193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  <c r="AP84" s="191"/>
      <c r="AQ84" s="191"/>
      <c r="AR84" s="191"/>
      <c r="AS84" s="228" t="e">
        <f>AS83/AU83</f>
        <v>#DIV/0!</v>
      </c>
      <c r="AT84" s="228" t="e">
        <f>AT83/AU83</f>
        <v>#DIV/0!</v>
      </c>
      <c r="AU84" s="228" t="e">
        <f>AU83/AU83</f>
        <v>#DIV/0!</v>
      </c>
      <c r="AV84" s="191"/>
      <c r="AW84" s="191"/>
      <c r="AX84" s="191"/>
      <c r="AY84" s="191"/>
      <c r="AZ84" s="191"/>
      <c r="BA84" s="191"/>
      <c r="BB84" s="191"/>
      <c r="BC84" s="191"/>
      <c r="BD84" s="191"/>
      <c r="BE84" s="191"/>
      <c r="BF84" s="191"/>
      <c r="BG84" s="191"/>
      <c r="BH84" s="228">
        <f>BH83/BJ83</f>
        <v>0.53904494382022472</v>
      </c>
      <c r="BI84" s="228">
        <f>BI83/BJ83</f>
        <v>0.46095505617977528</v>
      </c>
      <c r="BJ84" s="228">
        <f>BJ83/BJ83</f>
        <v>1</v>
      </c>
      <c r="BK84" s="191"/>
      <c r="BL84" s="191"/>
      <c r="BM84" s="191"/>
      <c r="BN84" s="191"/>
      <c r="BO84" s="191"/>
      <c r="BP84" s="191"/>
      <c r="BQ84" s="191"/>
      <c r="BR84" s="191"/>
      <c r="BS84" s="191"/>
      <c r="BT84" s="191"/>
      <c r="BU84" s="191"/>
      <c r="BV84" s="228">
        <f>BV83/BX83</f>
        <v>0.53904494382022472</v>
      </c>
      <c r="BW84" s="228">
        <f>BW83/BX83</f>
        <v>0.46095505617977528</v>
      </c>
      <c r="BX84" s="228">
        <f>BX83/BX83</f>
        <v>1</v>
      </c>
    </row>
    <row r="87" spans="2:76" x14ac:dyDescent="0.2">
      <c r="B87" s="22"/>
      <c r="C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</row>
    <row r="88" spans="2:76" x14ac:dyDescent="0.2">
      <c r="B88" s="22"/>
      <c r="C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</row>
    <row r="89" spans="2:76" x14ac:dyDescent="0.2">
      <c r="B89" s="22"/>
      <c r="C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</row>
    <row r="90" spans="2:76" x14ac:dyDescent="0.2">
      <c r="B90" s="22"/>
      <c r="C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</row>
    <row r="91" spans="2:76" x14ac:dyDescent="0.2">
      <c r="B91" s="22"/>
      <c r="C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</row>
    <row r="92" spans="2:76" x14ac:dyDescent="0.2">
      <c r="B92" s="22"/>
      <c r="C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</row>
    <row r="93" spans="2:76" x14ac:dyDescent="0.2">
      <c r="B93" s="22"/>
      <c r="C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</row>
    <row r="94" spans="2:76" x14ac:dyDescent="0.2">
      <c r="B94" s="22"/>
      <c r="C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</row>
    <row r="95" spans="2:76" x14ac:dyDescent="0.2">
      <c r="B95" s="22"/>
      <c r="C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</row>
    <row r="96" spans="2:76" x14ac:dyDescent="0.2">
      <c r="B96" s="22"/>
      <c r="C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</row>
    <row r="97" spans="2:54" x14ac:dyDescent="0.2">
      <c r="B97" s="22"/>
      <c r="C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</row>
    <row r="98" spans="2:54" x14ac:dyDescent="0.2">
      <c r="B98" s="22"/>
      <c r="C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</row>
    <row r="99" spans="2:54" x14ac:dyDescent="0.2">
      <c r="B99" s="22"/>
      <c r="C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</row>
    <row r="100" spans="2:54" x14ac:dyDescent="0.2">
      <c r="B100" s="22"/>
      <c r="C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</row>
    <row r="101" spans="2:54" x14ac:dyDescent="0.2">
      <c r="B101" s="22"/>
      <c r="C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</row>
    <row r="102" spans="2:54" x14ac:dyDescent="0.2">
      <c r="B102" s="22"/>
      <c r="C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</row>
    <row r="103" spans="2:54" x14ac:dyDescent="0.2">
      <c r="B103" s="22"/>
      <c r="C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</row>
    <row r="104" spans="2:54" x14ac:dyDescent="0.2">
      <c r="B104" s="22"/>
      <c r="C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</row>
    <row r="105" spans="2:54" x14ac:dyDescent="0.2">
      <c r="B105" s="22"/>
      <c r="C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</row>
    <row r="106" spans="2:54" x14ac:dyDescent="0.2">
      <c r="B106" s="22"/>
      <c r="C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</row>
    <row r="107" spans="2:54" x14ac:dyDescent="0.2">
      <c r="B107" s="22"/>
      <c r="C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</row>
    <row r="108" spans="2:54" x14ac:dyDescent="0.2">
      <c r="B108" s="22"/>
      <c r="C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</row>
    <row r="109" spans="2:54" x14ac:dyDescent="0.2">
      <c r="B109" s="22"/>
      <c r="C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</row>
    <row r="110" spans="2:54" x14ac:dyDescent="0.2">
      <c r="B110" s="22"/>
      <c r="C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</row>
    <row r="111" spans="2:54" x14ac:dyDescent="0.2">
      <c r="B111" s="22"/>
      <c r="C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</row>
    <row r="112" spans="2:54" x14ac:dyDescent="0.2">
      <c r="B112" s="22"/>
      <c r="C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</row>
    <row r="113" spans="2:54" x14ac:dyDescent="0.2">
      <c r="B113" s="22"/>
      <c r="C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</row>
    <row r="114" spans="2:54" x14ac:dyDescent="0.2">
      <c r="B114" s="22"/>
      <c r="C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</row>
    <row r="115" spans="2:54" x14ac:dyDescent="0.2">
      <c r="B115" s="22"/>
      <c r="C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</row>
    <row r="116" spans="2:54" x14ac:dyDescent="0.2">
      <c r="B116" s="22"/>
      <c r="C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</row>
    <row r="117" spans="2:54" x14ac:dyDescent="0.2">
      <c r="B117" s="22"/>
      <c r="C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</row>
    <row r="118" spans="2:54" x14ac:dyDescent="0.2">
      <c r="B118" s="22"/>
      <c r="C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</row>
    <row r="119" spans="2:54" x14ac:dyDescent="0.2">
      <c r="B119" s="22"/>
      <c r="C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</row>
    <row r="120" spans="2:54" x14ac:dyDescent="0.2">
      <c r="B120" s="22"/>
      <c r="C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</row>
    <row r="121" spans="2:54" x14ac:dyDescent="0.2">
      <c r="B121" s="22"/>
      <c r="C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</row>
    <row r="122" spans="2:54" x14ac:dyDescent="0.2">
      <c r="B122" s="22"/>
      <c r="C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</row>
    <row r="123" spans="2:54" x14ac:dyDescent="0.2">
      <c r="B123" s="22"/>
      <c r="C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</row>
    <row r="124" spans="2:54" x14ac:dyDescent="0.2">
      <c r="B124" s="22"/>
      <c r="C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</row>
    <row r="125" spans="2:54" x14ac:dyDescent="0.2">
      <c r="B125" s="22"/>
      <c r="C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</row>
    <row r="126" spans="2:54" x14ac:dyDescent="0.2">
      <c r="B126" s="22"/>
      <c r="C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</row>
    <row r="127" spans="2:54" x14ac:dyDescent="0.2">
      <c r="B127" s="22"/>
      <c r="C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</row>
    <row r="128" spans="2:54" x14ac:dyDescent="0.2">
      <c r="B128" s="22"/>
      <c r="C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</row>
    <row r="129" spans="2:54" x14ac:dyDescent="0.2">
      <c r="B129" s="22"/>
      <c r="C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</row>
    <row r="130" spans="2:54" x14ac:dyDescent="0.2">
      <c r="B130" s="22"/>
      <c r="C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</row>
    <row r="131" spans="2:54" x14ac:dyDescent="0.2">
      <c r="B131" s="22"/>
      <c r="C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</row>
    <row r="132" spans="2:54" x14ac:dyDescent="0.2">
      <c r="B132" s="22"/>
      <c r="C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</row>
    <row r="133" spans="2:54" x14ac:dyDescent="0.2">
      <c r="B133" s="22"/>
      <c r="C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</row>
    <row r="134" spans="2:54" x14ac:dyDescent="0.2">
      <c r="B134" s="22"/>
      <c r="C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</row>
    <row r="135" spans="2:54" x14ac:dyDescent="0.2">
      <c r="B135" s="22"/>
      <c r="C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</row>
    <row r="136" spans="2:54" x14ac:dyDescent="0.2">
      <c r="B136" s="22"/>
      <c r="C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</row>
    <row r="137" spans="2:54" x14ac:dyDescent="0.2">
      <c r="B137" s="22"/>
      <c r="C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</row>
    <row r="138" spans="2:54" x14ac:dyDescent="0.2">
      <c r="B138" s="22"/>
      <c r="C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</row>
    <row r="139" spans="2:54" x14ac:dyDescent="0.2">
      <c r="B139" s="22"/>
      <c r="C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</row>
    <row r="140" spans="2:54" x14ac:dyDescent="0.2">
      <c r="B140" s="22"/>
      <c r="C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</row>
    <row r="141" spans="2:54" x14ac:dyDescent="0.2">
      <c r="B141" s="22"/>
      <c r="C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</row>
    <row r="142" spans="2:54" x14ac:dyDescent="0.2">
      <c r="B142" s="22"/>
      <c r="C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</row>
    <row r="143" spans="2:54" x14ac:dyDescent="0.2">
      <c r="B143" s="22"/>
      <c r="C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</row>
    <row r="144" spans="2:54" x14ac:dyDescent="0.2">
      <c r="B144" s="22"/>
      <c r="C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</row>
    <row r="145" spans="2:54" x14ac:dyDescent="0.2">
      <c r="B145" s="22"/>
      <c r="C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</row>
    <row r="146" spans="2:54" x14ac:dyDescent="0.2">
      <c r="B146" s="22"/>
      <c r="C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</row>
    <row r="147" spans="2:54" x14ac:dyDescent="0.2">
      <c r="B147" s="22"/>
      <c r="C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</row>
    <row r="148" spans="2:54" x14ac:dyDescent="0.2">
      <c r="B148" s="22"/>
      <c r="C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</row>
    <row r="149" spans="2:54" x14ac:dyDescent="0.2">
      <c r="B149" s="22"/>
      <c r="C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</row>
    <row r="150" spans="2:54" x14ac:dyDescent="0.2">
      <c r="B150" s="22"/>
      <c r="C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</row>
  </sheetData>
  <mergeCells count="20">
    <mergeCell ref="BK45:BX45"/>
    <mergeCell ref="F65:K65"/>
    <mergeCell ref="L65:Y65"/>
    <mergeCell ref="AW65:BJ65"/>
    <mergeCell ref="BK65:BX65"/>
    <mergeCell ref="AG65:AU65"/>
    <mergeCell ref="F45:K45"/>
    <mergeCell ref="L45:Y45"/>
    <mergeCell ref="AH45:AU45"/>
    <mergeCell ref="AW45:BJ45"/>
    <mergeCell ref="F13:K13"/>
    <mergeCell ref="L13:Y13"/>
    <mergeCell ref="AH13:AU13"/>
    <mergeCell ref="AW13:BJ13"/>
    <mergeCell ref="BK13:BX13"/>
    <mergeCell ref="F28:K28"/>
    <mergeCell ref="L28:Y28"/>
    <mergeCell ref="AH28:AU28"/>
    <mergeCell ref="AW28:BJ28"/>
    <mergeCell ref="BK28:BX28"/>
  </mergeCells>
  <conditionalFormatting sqref="B83:B84">
    <cfRule type="duplicateValues" dxfId="0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2D74-A294-4A44-BE6C-83E716E39716}">
  <dimension ref="A1:BX74"/>
  <sheetViews>
    <sheetView workbookViewId="0"/>
  </sheetViews>
  <sheetFormatPr baseColWidth="10" defaultRowHeight="15" x14ac:dyDescent="0.25"/>
  <cols>
    <col min="1" max="1" width="3.28515625" customWidth="1"/>
    <col min="2" max="2" width="12.140625" customWidth="1"/>
    <col min="3" max="3" width="22.140625" customWidth="1"/>
    <col min="4" max="4" width="7.5703125" bestFit="1" customWidth="1"/>
    <col min="5" max="5" width="6.42578125" bestFit="1" customWidth="1"/>
    <col min="6" max="14" width="4.85546875" bestFit="1" customWidth="1"/>
    <col min="15" max="22" width="6" bestFit="1" customWidth="1"/>
    <col min="23" max="31" width="4.5703125" bestFit="1" customWidth="1"/>
    <col min="32" max="32" width="5.7109375" bestFit="1" customWidth="1"/>
    <col min="34" max="34" width="13.140625" customWidth="1"/>
    <col min="35" max="35" width="19.140625" customWidth="1"/>
    <col min="36" max="36" width="6.42578125" bestFit="1" customWidth="1"/>
    <col min="37" max="37" width="9.85546875" bestFit="1" customWidth="1"/>
    <col min="38" max="38" width="7.5703125" bestFit="1" customWidth="1"/>
    <col min="39" max="39" width="8.140625" bestFit="1" customWidth="1"/>
    <col min="40" max="40" width="13.28515625" bestFit="1" customWidth="1"/>
    <col min="41" max="49" width="4.5703125" bestFit="1" customWidth="1"/>
    <col min="50" max="51" width="5.7109375" bestFit="1" customWidth="1"/>
    <col min="54" max="54" width="9.28515625" bestFit="1" customWidth="1"/>
  </cols>
  <sheetData>
    <row r="1" spans="2:76" s="22" customFormat="1" ht="12.75" x14ac:dyDescent="0.2">
      <c r="B1" s="197"/>
      <c r="C1" s="192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</row>
    <row r="2" spans="2:76" s="22" customFormat="1" ht="12.75" x14ac:dyDescent="0.2">
      <c r="B2" s="197"/>
      <c r="C2" s="192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</row>
    <row r="3" spans="2:76" s="22" customFormat="1" ht="12.75" x14ac:dyDescent="0.2">
      <c r="B3" s="197"/>
      <c r="C3" s="192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</row>
    <row r="4" spans="2:76" s="22" customFormat="1" ht="12.75" x14ac:dyDescent="0.2">
      <c r="B4" s="197"/>
      <c r="C4" s="192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</row>
    <row r="5" spans="2:76" s="22" customFormat="1" ht="12.75" x14ac:dyDescent="0.2">
      <c r="B5" s="197"/>
      <c r="C5" s="192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</row>
    <row r="6" spans="2:76" s="22" customFormat="1" ht="12.75" x14ac:dyDescent="0.2">
      <c r="B6" s="197"/>
      <c r="C6" s="192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</row>
    <row r="7" spans="2:76" s="22" customFormat="1" ht="18" x14ac:dyDescent="0.2">
      <c r="B7" s="198" t="s">
        <v>0</v>
      </c>
      <c r="C7" s="192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</row>
    <row r="8" spans="2:76" s="22" customFormat="1" ht="18" x14ac:dyDescent="0.2">
      <c r="B8" s="198"/>
      <c r="C8" s="192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</row>
    <row r="9" spans="2:76" s="22" customFormat="1" ht="18" x14ac:dyDescent="0.2">
      <c r="B9" s="198"/>
      <c r="C9" s="192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</row>
    <row r="10" spans="2:76" s="22" customFormat="1" ht="12.75" x14ac:dyDescent="0.2">
      <c r="B10" s="196" t="s">
        <v>934</v>
      </c>
      <c r="C10" s="192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</row>
    <row r="11" spans="2:76" ht="15.75" thickBot="1" x14ac:dyDescent="0.3">
      <c r="B11" s="200"/>
      <c r="C11" s="193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</row>
    <row r="12" spans="2:76" ht="15.75" thickBot="1" x14ac:dyDescent="0.3">
      <c r="B12" s="339"/>
      <c r="C12" s="339"/>
      <c r="D12" s="339"/>
      <c r="E12" s="339"/>
      <c r="F12" s="1002" t="s">
        <v>935</v>
      </c>
      <c r="G12" s="1003"/>
      <c r="H12" s="1003"/>
      <c r="I12" s="1003"/>
      <c r="J12" s="1003"/>
      <c r="K12" s="1003"/>
      <c r="L12" s="1003"/>
      <c r="M12" s="1003"/>
      <c r="N12" s="1003"/>
      <c r="O12" s="1003"/>
      <c r="P12" s="1003"/>
      <c r="Q12" s="1003"/>
      <c r="R12" s="1003"/>
      <c r="S12" s="1003"/>
      <c r="T12" s="1003"/>
      <c r="U12" s="1003"/>
      <c r="V12" s="1004"/>
      <c r="W12" s="1002" t="s">
        <v>936</v>
      </c>
      <c r="X12" s="1003"/>
      <c r="Y12" s="1003"/>
      <c r="Z12" s="1003"/>
      <c r="AA12" s="1003"/>
      <c r="AB12" s="1003"/>
      <c r="AC12" s="1003"/>
      <c r="AD12" s="1003"/>
      <c r="AE12" s="1003"/>
      <c r="AF12" s="1004"/>
      <c r="AG12" s="339"/>
      <c r="AH12" s="339"/>
      <c r="AI12" s="339"/>
      <c r="AJ12" s="339"/>
      <c r="AK12" s="339"/>
      <c r="AL12" s="339"/>
      <c r="AM12" s="339"/>
      <c r="AN12" s="339"/>
      <c r="AO12" s="1002" t="s">
        <v>1050</v>
      </c>
      <c r="AP12" s="1003"/>
      <c r="AQ12" s="1003"/>
      <c r="AR12" s="1003"/>
      <c r="AS12" s="1003"/>
      <c r="AT12" s="1003"/>
      <c r="AU12" s="1003"/>
      <c r="AV12" s="1003"/>
      <c r="AW12" s="1003"/>
      <c r="AX12" s="1003"/>
      <c r="AY12" s="1003"/>
      <c r="AZ12" s="1003"/>
      <c r="BA12" s="1003"/>
      <c r="BB12" s="1004"/>
    </row>
    <row r="13" spans="2:76" s="375" customFormat="1" ht="53.25" thickBot="1" x14ac:dyDescent="0.3">
      <c r="B13" s="195" t="s">
        <v>938</v>
      </c>
      <c r="C13" s="195" t="s">
        <v>272</v>
      </c>
      <c r="D13" s="195" t="s">
        <v>1049</v>
      </c>
      <c r="E13" s="195" t="s">
        <v>273</v>
      </c>
      <c r="F13" s="376" t="s">
        <v>941</v>
      </c>
      <c r="G13" s="376" t="s">
        <v>942</v>
      </c>
      <c r="H13" s="376" t="s">
        <v>943</v>
      </c>
      <c r="I13" s="376" t="s">
        <v>944</v>
      </c>
      <c r="J13" s="376" t="s">
        <v>945</v>
      </c>
      <c r="K13" s="376" t="s">
        <v>946</v>
      </c>
      <c r="L13" s="376" t="s">
        <v>1051</v>
      </c>
      <c r="M13" s="376" t="s">
        <v>1052</v>
      </c>
      <c r="N13" s="376" t="s">
        <v>1053</v>
      </c>
      <c r="O13" s="376" t="s">
        <v>1054</v>
      </c>
      <c r="P13" s="376" t="s">
        <v>1055</v>
      </c>
      <c r="Q13" s="376" t="s">
        <v>1056</v>
      </c>
      <c r="R13" s="376" t="s">
        <v>1057</v>
      </c>
      <c r="S13" s="376" t="s">
        <v>1058</v>
      </c>
      <c r="T13" s="376" t="s">
        <v>1059</v>
      </c>
      <c r="U13" s="376" t="s">
        <v>1060</v>
      </c>
      <c r="V13" s="376" t="s">
        <v>1061</v>
      </c>
      <c r="W13" s="376" t="s">
        <v>947</v>
      </c>
      <c r="X13" s="376" t="s">
        <v>948</v>
      </c>
      <c r="Y13" s="376" t="s">
        <v>949</v>
      </c>
      <c r="Z13" s="376" t="s">
        <v>950</v>
      </c>
      <c r="AA13" s="376" t="s">
        <v>951</v>
      </c>
      <c r="AB13" s="376" t="s">
        <v>952</v>
      </c>
      <c r="AC13" s="376" t="s">
        <v>953</v>
      </c>
      <c r="AD13" s="376" t="s">
        <v>954</v>
      </c>
      <c r="AE13" s="376" t="s">
        <v>955</v>
      </c>
      <c r="AF13" s="377" t="s">
        <v>956</v>
      </c>
      <c r="AG13" s="378"/>
      <c r="AH13" s="194" t="s">
        <v>938</v>
      </c>
      <c r="AI13" s="194" t="s">
        <v>272</v>
      </c>
      <c r="AJ13" s="194" t="s">
        <v>273</v>
      </c>
      <c r="AK13" s="194" t="s">
        <v>274</v>
      </c>
      <c r="AL13" s="194" t="s">
        <v>1049</v>
      </c>
      <c r="AM13" s="194" t="s">
        <v>961</v>
      </c>
      <c r="AN13" s="374" t="s">
        <v>962</v>
      </c>
      <c r="AO13" s="376" t="s">
        <v>963</v>
      </c>
      <c r="AP13" s="376" t="s">
        <v>964</v>
      </c>
      <c r="AQ13" s="376" t="s">
        <v>965</v>
      </c>
      <c r="AR13" s="376" t="s">
        <v>966</v>
      </c>
      <c r="AS13" s="376" t="s">
        <v>967</v>
      </c>
      <c r="AT13" s="376" t="s">
        <v>968</v>
      </c>
      <c r="AU13" s="376" t="s">
        <v>969</v>
      </c>
      <c r="AV13" s="376" t="s">
        <v>970</v>
      </c>
      <c r="AW13" s="376" t="s">
        <v>971</v>
      </c>
      <c r="AX13" s="376" t="s">
        <v>972</v>
      </c>
      <c r="AY13" s="377" t="s">
        <v>973</v>
      </c>
      <c r="AZ13" s="311" t="s">
        <v>974</v>
      </c>
      <c r="BA13" s="311" t="s">
        <v>975</v>
      </c>
      <c r="BB13" s="311" t="s">
        <v>976</v>
      </c>
    </row>
    <row r="14" spans="2:76" ht="33" x14ac:dyDescent="0.25">
      <c r="B14" s="312" t="s">
        <v>1062</v>
      </c>
      <c r="C14" s="313" t="s">
        <v>591</v>
      </c>
      <c r="D14" s="121">
        <v>6</v>
      </c>
      <c r="E14" s="342" t="s">
        <v>978</v>
      </c>
      <c r="F14" s="343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 t="s">
        <v>28</v>
      </c>
      <c r="R14" s="344"/>
      <c r="S14" s="344" t="s">
        <v>28</v>
      </c>
      <c r="T14" s="344" t="s">
        <v>28</v>
      </c>
      <c r="U14" s="344" t="s">
        <v>28</v>
      </c>
      <c r="V14" s="345"/>
      <c r="W14" s="343"/>
      <c r="X14" s="344"/>
      <c r="Y14" s="344"/>
      <c r="Z14" s="344"/>
      <c r="AA14" s="344"/>
      <c r="AB14" s="344" t="s">
        <v>28</v>
      </c>
      <c r="AC14" s="344"/>
      <c r="AD14" s="344"/>
      <c r="AE14" s="344"/>
      <c r="AF14" s="345"/>
      <c r="AG14" s="339"/>
      <c r="AH14" s="312" t="s">
        <v>1062</v>
      </c>
      <c r="AI14" s="313" t="s">
        <v>591</v>
      </c>
      <c r="AJ14" s="314" t="s">
        <v>978</v>
      </c>
      <c r="AK14" s="315" t="s">
        <v>283</v>
      </c>
      <c r="AL14" s="121">
        <v>6</v>
      </c>
      <c r="AM14" s="316" t="s">
        <v>1017</v>
      </c>
      <c r="AN14" s="317">
        <v>33</v>
      </c>
      <c r="AO14" s="346"/>
      <c r="AP14" s="347"/>
      <c r="AQ14" s="347"/>
      <c r="AR14" s="347"/>
      <c r="AS14" s="347"/>
      <c r="AT14" s="347"/>
      <c r="AU14" s="347">
        <v>24</v>
      </c>
      <c r="AV14" s="347"/>
      <c r="AW14" s="347"/>
      <c r="AX14" s="347">
        <v>30</v>
      </c>
      <c r="AY14" s="348">
        <v>96</v>
      </c>
      <c r="AZ14" s="346">
        <v>60</v>
      </c>
      <c r="BA14" s="348">
        <v>90</v>
      </c>
      <c r="BB14" s="349">
        <v>150</v>
      </c>
    </row>
    <row r="15" spans="2:76" ht="33" x14ac:dyDescent="0.25">
      <c r="B15" s="318" t="s">
        <v>1063</v>
      </c>
      <c r="C15" s="319" t="s">
        <v>594</v>
      </c>
      <c r="D15" s="134">
        <v>6</v>
      </c>
      <c r="E15" s="342" t="s">
        <v>978</v>
      </c>
      <c r="F15" s="350"/>
      <c r="G15" s="342"/>
      <c r="H15" s="342"/>
      <c r="I15" s="342"/>
      <c r="J15" s="342"/>
      <c r="K15" s="342"/>
      <c r="L15" s="342" t="s">
        <v>28</v>
      </c>
      <c r="M15" s="342"/>
      <c r="N15" s="342"/>
      <c r="O15" s="342"/>
      <c r="P15" s="342"/>
      <c r="Q15" s="342" t="s">
        <v>28</v>
      </c>
      <c r="R15" s="342"/>
      <c r="S15" s="342"/>
      <c r="T15" s="342" t="s">
        <v>28</v>
      </c>
      <c r="U15" s="342" t="s">
        <v>28</v>
      </c>
      <c r="V15" s="351" t="s">
        <v>28</v>
      </c>
      <c r="W15" s="350"/>
      <c r="X15" s="342"/>
      <c r="Y15" s="342" t="s">
        <v>28</v>
      </c>
      <c r="Z15" s="342"/>
      <c r="AA15" s="342" t="s">
        <v>28</v>
      </c>
      <c r="AB15" s="342"/>
      <c r="AC15" s="342" t="s">
        <v>28</v>
      </c>
      <c r="AD15" s="342"/>
      <c r="AE15" s="342"/>
      <c r="AF15" s="351"/>
      <c r="AG15" s="339"/>
      <c r="AH15" s="318" t="s">
        <v>1063</v>
      </c>
      <c r="AI15" s="320" t="s">
        <v>594</v>
      </c>
      <c r="AJ15" s="132" t="s">
        <v>978</v>
      </c>
      <c r="AK15" s="315" t="s">
        <v>283</v>
      </c>
      <c r="AL15" s="134">
        <v>6</v>
      </c>
      <c r="AM15" s="134" t="s">
        <v>1017</v>
      </c>
      <c r="AN15" s="321">
        <v>30</v>
      </c>
      <c r="AO15" s="352"/>
      <c r="AP15" s="349"/>
      <c r="AQ15" s="349"/>
      <c r="AR15" s="349"/>
      <c r="AS15" s="349"/>
      <c r="AT15" s="349"/>
      <c r="AU15" s="349">
        <v>32</v>
      </c>
      <c r="AV15" s="349"/>
      <c r="AW15" s="349"/>
      <c r="AX15" s="349">
        <v>48</v>
      </c>
      <c r="AY15" s="353">
        <v>70</v>
      </c>
      <c r="AZ15" s="352">
        <v>60</v>
      </c>
      <c r="BA15" s="353">
        <v>90</v>
      </c>
      <c r="BB15" s="349">
        <v>150</v>
      </c>
    </row>
    <row r="16" spans="2:76" ht="22.5" x14ac:dyDescent="0.25">
      <c r="B16" s="318" t="s">
        <v>1064</v>
      </c>
      <c r="C16" s="319" t="s">
        <v>310</v>
      </c>
      <c r="D16" s="134">
        <v>6</v>
      </c>
      <c r="E16" s="342" t="s">
        <v>978</v>
      </c>
      <c r="F16" s="350"/>
      <c r="G16" s="342"/>
      <c r="H16" s="342"/>
      <c r="I16" s="342" t="s">
        <v>28</v>
      </c>
      <c r="J16" s="342"/>
      <c r="K16" s="342"/>
      <c r="L16" s="342"/>
      <c r="M16" s="342"/>
      <c r="N16" s="342"/>
      <c r="O16" s="342"/>
      <c r="P16" s="342"/>
      <c r="Q16" s="342" t="s">
        <v>28</v>
      </c>
      <c r="R16" s="342"/>
      <c r="S16" s="342" t="s">
        <v>28</v>
      </c>
      <c r="T16" s="342" t="s">
        <v>28</v>
      </c>
      <c r="U16" s="342" t="s">
        <v>28</v>
      </c>
      <c r="V16" s="351"/>
      <c r="W16" s="350"/>
      <c r="X16" s="342"/>
      <c r="Y16" s="342"/>
      <c r="Z16" s="342"/>
      <c r="AA16" s="342" t="s">
        <v>28</v>
      </c>
      <c r="AB16" s="342"/>
      <c r="AC16" s="342" t="s">
        <v>28</v>
      </c>
      <c r="AD16" s="342" t="s">
        <v>28</v>
      </c>
      <c r="AE16" s="342"/>
      <c r="AF16" s="351" t="s">
        <v>28</v>
      </c>
      <c r="AG16" s="339"/>
      <c r="AH16" s="318" t="s">
        <v>1064</v>
      </c>
      <c r="AI16" s="319" t="s">
        <v>310</v>
      </c>
      <c r="AJ16" s="132" t="s">
        <v>978</v>
      </c>
      <c r="AK16" s="133" t="s">
        <v>309</v>
      </c>
      <c r="AL16" s="134">
        <v>6</v>
      </c>
      <c r="AM16" s="134" t="s">
        <v>1017</v>
      </c>
      <c r="AN16" s="321">
        <v>27</v>
      </c>
      <c r="AO16" s="352"/>
      <c r="AP16" s="349"/>
      <c r="AQ16" s="349"/>
      <c r="AR16" s="349">
        <v>70</v>
      </c>
      <c r="AS16" s="349"/>
      <c r="AT16" s="349">
        <v>26</v>
      </c>
      <c r="AU16" s="349">
        <v>9</v>
      </c>
      <c r="AV16" s="349"/>
      <c r="AW16" s="349"/>
      <c r="AX16" s="349">
        <v>18</v>
      </c>
      <c r="AY16" s="353">
        <v>27</v>
      </c>
      <c r="AZ16" s="352">
        <v>60</v>
      </c>
      <c r="BA16" s="353">
        <v>90</v>
      </c>
      <c r="BB16" s="349">
        <v>150</v>
      </c>
    </row>
    <row r="17" spans="1:54" ht="22.5" x14ac:dyDescent="0.25">
      <c r="B17" s="318" t="s">
        <v>1065</v>
      </c>
      <c r="C17" s="319" t="s">
        <v>595</v>
      </c>
      <c r="D17" s="134">
        <v>12</v>
      </c>
      <c r="E17" s="342" t="s">
        <v>978</v>
      </c>
      <c r="F17" s="354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6"/>
      <c r="W17" s="354"/>
      <c r="X17" s="355"/>
      <c r="Y17" s="355"/>
      <c r="Z17" s="355"/>
      <c r="AA17" s="355"/>
      <c r="AB17" s="355"/>
      <c r="AC17" s="355"/>
      <c r="AD17" s="355"/>
      <c r="AE17" s="355"/>
      <c r="AF17" s="356"/>
      <c r="AG17" s="339"/>
      <c r="AH17" s="322" t="s">
        <v>1065</v>
      </c>
      <c r="AI17" s="323" t="s">
        <v>595</v>
      </c>
      <c r="AJ17" s="324" t="s">
        <v>978</v>
      </c>
      <c r="AK17" s="325" t="s">
        <v>309</v>
      </c>
      <c r="AL17" s="326">
        <v>12</v>
      </c>
      <c r="AM17" s="326"/>
      <c r="AN17" s="327"/>
      <c r="AO17" s="357"/>
      <c r="AP17" s="358"/>
      <c r="AQ17" s="358"/>
      <c r="AR17" s="358"/>
      <c r="AS17" s="358"/>
      <c r="AT17" s="358"/>
      <c r="AU17" s="358"/>
      <c r="AV17" s="358"/>
      <c r="AW17" s="358"/>
      <c r="AX17" s="358"/>
      <c r="AY17" s="359"/>
      <c r="AZ17" s="357"/>
      <c r="BA17" s="359"/>
      <c r="BB17" s="358"/>
    </row>
    <row r="18" spans="1:54" x14ac:dyDescent="0.25">
      <c r="B18" s="318"/>
      <c r="C18" s="132" t="s">
        <v>1066</v>
      </c>
      <c r="D18" s="134"/>
      <c r="E18" s="342" t="s">
        <v>978</v>
      </c>
      <c r="F18" s="350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 t="s">
        <v>28</v>
      </c>
      <c r="R18" s="342"/>
      <c r="S18" s="342" t="s">
        <v>28</v>
      </c>
      <c r="T18" s="342" t="s">
        <v>28</v>
      </c>
      <c r="U18" s="342" t="s">
        <v>28</v>
      </c>
      <c r="V18" s="351" t="s">
        <v>28</v>
      </c>
      <c r="W18" s="350"/>
      <c r="X18" s="342"/>
      <c r="Y18" s="342"/>
      <c r="Z18" s="342"/>
      <c r="AA18" s="342" t="s">
        <v>28</v>
      </c>
      <c r="AB18" s="342"/>
      <c r="AC18" s="342"/>
      <c r="AD18" s="342" t="s">
        <v>28</v>
      </c>
      <c r="AE18" s="342"/>
      <c r="AF18" s="351" t="s">
        <v>28</v>
      </c>
      <c r="AG18" s="339"/>
      <c r="AH18" s="318"/>
      <c r="AI18" s="132" t="s">
        <v>1066</v>
      </c>
      <c r="AJ18" s="132" t="s">
        <v>978</v>
      </c>
      <c r="AK18" s="132"/>
      <c r="AL18" s="134"/>
      <c r="AM18" s="134" t="s">
        <v>1017</v>
      </c>
      <c r="AN18" s="321">
        <v>32</v>
      </c>
      <c r="AO18" s="352"/>
      <c r="AP18" s="349"/>
      <c r="AQ18" s="349"/>
      <c r="AR18" s="349">
        <v>73</v>
      </c>
      <c r="AS18" s="349"/>
      <c r="AT18" s="349">
        <v>17</v>
      </c>
      <c r="AU18" s="349">
        <v>4</v>
      </c>
      <c r="AV18" s="349"/>
      <c r="AW18" s="349"/>
      <c r="AX18" s="349">
        <v>26</v>
      </c>
      <c r="AY18" s="353">
        <v>30</v>
      </c>
      <c r="AZ18" s="352">
        <v>60</v>
      </c>
      <c r="BA18" s="353">
        <v>90</v>
      </c>
      <c r="BB18" s="349">
        <v>150</v>
      </c>
    </row>
    <row r="19" spans="1:54" x14ac:dyDescent="0.25">
      <c r="B19" s="318"/>
      <c r="C19" s="132" t="s">
        <v>1067</v>
      </c>
      <c r="D19" s="134"/>
      <c r="E19" s="342" t="s">
        <v>978</v>
      </c>
      <c r="F19" s="350"/>
      <c r="G19" s="342"/>
      <c r="H19" s="342"/>
      <c r="I19" s="342"/>
      <c r="J19" s="342"/>
      <c r="K19" s="342"/>
      <c r="L19" s="342"/>
      <c r="M19" s="342" t="s">
        <v>28</v>
      </c>
      <c r="N19" s="342" t="s">
        <v>28</v>
      </c>
      <c r="O19" s="342"/>
      <c r="P19" s="342"/>
      <c r="Q19" s="342" t="s">
        <v>28</v>
      </c>
      <c r="R19" s="342"/>
      <c r="S19" s="342" t="s">
        <v>28</v>
      </c>
      <c r="T19" s="342"/>
      <c r="U19" s="342" t="s">
        <v>28</v>
      </c>
      <c r="V19" s="351" t="s">
        <v>28</v>
      </c>
      <c r="W19" s="350"/>
      <c r="X19" s="342"/>
      <c r="Y19" s="342"/>
      <c r="Z19" s="342"/>
      <c r="AA19" s="342" t="s">
        <v>28</v>
      </c>
      <c r="AB19" s="342"/>
      <c r="AC19" s="342"/>
      <c r="AD19" s="342" t="s">
        <v>28</v>
      </c>
      <c r="AE19" s="342"/>
      <c r="AF19" s="351" t="s">
        <v>28</v>
      </c>
      <c r="AG19" s="339"/>
      <c r="AH19" s="318"/>
      <c r="AI19" s="132" t="s">
        <v>1067</v>
      </c>
      <c r="AJ19" s="132" t="s">
        <v>978</v>
      </c>
      <c r="AK19" s="132"/>
      <c r="AL19" s="134"/>
      <c r="AM19" s="134" t="s">
        <v>1017</v>
      </c>
      <c r="AN19" s="321">
        <v>32</v>
      </c>
      <c r="AO19" s="352"/>
      <c r="AP19" s="349"/>
      <c r="AQ19" s="349"/>
      <c r="AR19" s="349">
        <v>73</v>
      </c>
      <c r="AS19" s="349"/>
      <c r="AT19" s="349">
        <v>17</v>
      </c>
      <c r="AU19" s="349">
        <v>4</v>
      </c>
      <c r="AV19" s="349"/>
      <c r="AW19" s="349"/>
      <c r="AX19" s="349">
        <v>26</v>
      </c>
      <c r="AY19" s="353">
        <v>30</v>
      </c>
      <c r="AZ19" s="352">
        <v>60</v>
      </c>
      <c r="BA19" s="353">
        <v>90</v>
      </c>
      <c r="BB19" s="349">
        <v>150</v>
      </c>
    </row>
    <row r="20" spans="1:54" ht="33" x14ac:dyDescent="0.25">
      <c r="B20" s="318" t="s">
        <v>1068</v>
      </c>
      <c r="C20" s="319" t="s">
        <v>596</v>
      </c>
      <c r="D20" s="134">
        <v>6</v>
      </c>
      <c r="E20" s="342" t="s">
        <v>978</v>
      </c>
      <c r="F20" s="350"/>
      <c r="G20" s="342"/>
      <c r="H20" s="342"/>
      <c r="I20" s="342"/>
      <c r="J20" s="342"/>
      <c r="K20" s="342"/>
      <c r="L20" s="342"/>
      <c r="M20" s="342" t="s">
        <v>28</v>
      </c>
      <c r="N20" s="342"/>
      <c r="O20" s="342"/>
      <c r="P20" s="342"/>
      <c r="Q20" s="342" t="s">
        <v>28</v>
      </c>
      <c r="R20" s="342"/>
      <c r="S20" s="342" t="s">
        <v>28</v>
      </c>
      <c r="T20" s="342" t="s">
        <v>28</v>
      </c>
      <c r="U20" s="342"/>
      <c r="V20" s="351" t="s">
        <v>28</v>
      </c>
      <c r="W20" s="350"/>
      <c r="X20" s="342"/>
      <c r="Y20" s="342"/>
      <c r="Z20" s="342"/>
      <c r="AA20" s="342" t="s">
        <v>28</v>
      </c>
      <c r="AB20" s="342"/>
      <c r="AC20" s="342"/>
      <c r="AD20" s="342" t="s">
        <v>28</v>
      </c>
      <c r="AE20" s="342"/>
      <c r="AF20" s="351" t="s">
        <v>28</v>
      </c>
      <c r="AG20" s="339"/>
      <c r="AH20" s="318" t="s">
        <v>1068</v>
      </c>
      <c r="AI20" s="319" t="s">
        <v>596</v>
      </c>
      <c r="AJ20" s="132" t="s">
        <v>978</v>
      </c>
      <c r="AK20" s="133" t="s">
        <v>309</v>
      </c>
      <c r="AL20" s="134">
        <v>6</v>
      </c>
      <c r="AM20" s="134" t="s">
        <v>992</v>
      </c>
      <c r="AN20" s="321">
        <v>32</v>
      </c>
      <c r="AO20" s="352"/>
      <c r="AP20" s="349"/>
      <c r="AQ20" s="349"/>
      <c r="AR20" s="349">
        <v>66</v>
      </c>
      <c r="AS20" s="349"/>
      <c r="AT20" s="349">
        <v>20</v>
      </c>
      <c r="AU20" s="349">
        <v>6</v>
      </c>
      <c r="AV20" s="349"/>
      <c r="AW20" s="349"/>
      <c r="AX20" s="349">
        <v>18</v>
      </c>
      <c r="AY20" s="353">
        <v>40</v>
      </c>
      <c r="AZ20" s="352">
        <v>66</v>
      </c>
      <c r="BA20" s="353">
        <v>84</v>
      </c>
      <c r="BB20" s="349">
        <v>150</v>
      </c>
    </row>
    <row r="21" spans="1:54" ht="22.5" x14ac:dyDescent="0.25">
      <c r="B21" s="318" t="s">
        <v>1069</v>
      </c>
      <c r="C21" s="319" t="s">
        <v>597</v>
      </c>
      <c r="D21" s="134">
        <v>6</v>
      </c>
      <c r="E21" s="342" t="s">
        <v>978</v>
      </c>
      <c r="F21" s="350"/>
      <c r="G21" s="342"/>
      <c r="H21" s="342"/>
      <c r="I21" s="342"/>
      <c r="J21" s="342"/>
      <c r="K21" s="342" t="s">
        <v>28</v>
      </c>
      <c r="L21" s="342"/>
      <c r="M21" s="342"/>
      <c r="N21" s="342"/>
      <c r="O21" s="342"/>
      <c r="P21" s="342"/>
      <c r="Q21" s="342" t="s">
        <v>28</v>
      </c>
      <c r="R21" s="342"/>
      <c r="S21" s="342" t="s">
        <v>28</v>
      </c>
      <c r="T21" s="342" t="s">
        <v>28</v>
      </c>
      <c r="U21" s="342"/>
      <c r="V21" s="351" t="s">
        <v>28</v>
      </c>
      <c r="W21" s="350"/>
      <c r="X21" s="342"/>
      <c r="Y21" s="342"/>
      <c r="Z21" s="342"/>
      <c r="AA21" s="342"/>
      <c r="AB21" s="342" t="s">
        <v>28</v>
      </c>
      <c r="AC21" s="342"/>
      <c r="AD21" s="342"/>
      <c r="AE21" s="342"/>
      <c r="AF21" s="351" t="s">
        <v>28</v>
      </c>
      <c r="AG21" s="339"/>
      <c r="AH21" s="318" t="s">
        <v>1069</v>
      </c>
      <c r="AI21" s="319" t="s">
        <v>597</v>
      </c>
      <c r="AJ21" s="132" t="s">
        <v>978</v>
      </c>
      <c r="AK21" s="315" t="s">
        <v>283</v>
      </c>
      <c r="AL21" s="134">
        <v>6</v>
      </c>
      <c r="AM21" s="134" t="s">
        <v>1017</v>
      </c>
      <c r="AN21" s="321">
        <v>39</v>
      </c>
      <c r="AO21" s="352"/>
      <c r="AP21" s="349"/>
      <c r="AQ21" s="349"/>
      <c r="AR21" s="349">
        <v>19</v>
      </c>
      <c r="AS21" s="349"/>
      <c r="AT21" s="349"/>
      <c r="AU21" s="349">
        <v>46</v>
      </c>
      <c r="AV21" s="349"/>
      <c r="AW21" s="349"/>
      <c r="AX21" s="349">
        <v>40</v>
      </c>
      <c r="AY21" s="353">
        <v>45</v>
      </c>
      <c r="AZ21" s="352">
        <v>65</v>
      </c>
      <c r="BA21" s="353">
        <v>85</v>
      </c>
      <c r="BB21" s="349">
        <v>150</v>
      </c>
    </row>
    <row r="22" spans="1:54" ht="54" x14ac:dyDescent="0.25">
      <c r="B22" s="318" t="s">
        <v>1070</v>
      </c>
      <c r="C22" s="319" t="s">
        <v>598</v>
      </c>
      <c r="D22" s="134">
        <v>6</v>
      </c>
      <c r="E22" s="342" t="s">
        <v>978</v>
      </c>
      <c r="F22" s="350"/>
      <c r="G22" s="342"/>
      <c r="H22" s="342"/>
      <c r="I22" s="342"/>
      <c r="J22" s="342"/>
      <c r="K22" s="342"/>
      <c r="L22" s="342"/>
      <c r="M22" s="342"/>
      <c r="N22" s="342" t="s">
        <v>28</v>
      </c>
      <c r="O22" s="342"/>
      <c r="P22" s="342"/>
      <c r="Q22" s="342" t="s">
        <v>28</v>
      </c>
      <c r="R22" s="342"/>
      <c r="S22" s="342"/>
      <c r="T22" s="342" t="s">
        <v>28</v>
      </c>
      <c r="U22" s="342"/>
      <c r="V22" s="351" t="s">
        <v>28</v>
      </c>
      <c r="W22" s="350"/>
      <c r="X22" s="342"/>
      <c r="Y22" s="342"/>
      <c r="Z22" s="342"/>
      <c r="AA22" s="342" t="s">
        <v>28</v>
      </c>
      <c r="AB22" s="342"/>
      <c r="AC22" s="342" t="s">
        <v>28</v>
      </c>
      <c r="AD22" s="342" t="s">
        <v>28</v>
      </c>
      <c r="AE22" s="342"/>
      <c r="AF22" s="351" t="s">
        <v>28</v>
      </c>
      <c r="AG22" s="339"/>
      <c r="AH22" s="318" t="s">
        <v>1070</v>
      </c>
      <c r="AI22" s="319" t="s">
        <v>598</v>
      </c>
      <c r="AJ22" s="132" t="s">
        <v>978</v>
      </c>
      <c r="AK22" s="315" t="s">
        <v>283</v>
      </c>
      <c r="AL22" s="134">
        <v>6</v>
      </c>
      <c r="AM22" s="134" t="s">
        <v>1017</v>
      </c>
      <c r="AN22" s="321">
        <v>31</v>
      </c>
      <c r="AO22" s="352"/>
      <c r="AP22" s="349"/>
      <c r="AQ22" s="349"/>
      <c r="AR22" s="349">
        <v>61</v>
      </c>
      <c r="AS22" s="349"/>
      <c r="AT22" s="349"/>
      <c r="AU22" s="349">
        <v>34</v>
      </c>
      <c r="AV22" s="349"/>
      <c r="AW22" s="349"/>
      <c r="AX22" s="349">
        <v>14</v>
      </c>
      <c r="AY22" s="353">
        <v>40</v>
      </c>
      <c r="AZ22" s="352">
        <v>59</v>
      </c>
      <c r="BA22" s="353">
        <v>91</v>
      </c>
      <c r="BB22" s="349">
        <v>150</v>
      </c>
    </row>
    <row r="23" spans="1:54" ht="22.5" x14ac:dyDescent="0.25">
      <c r="B23" s="318" t="s">
        <v>1071</v>
      </c>
      <c r="C23" s="319" t="s">
        <v>599</v>
      </c>
      <c r="D23" s="134">
        <v>6</v>
      </c>
      <c r="E23" s="342" t="s">
        <v>978</v>
      </c>
      <c r="F23" s="350"/>
      <c r="G23" s="342"/>
      <c r="H23" s="342"/>
      <c r="I23" s="342"/>
      <c r="J23" s="342"/>
      <c r="K23" s="342"/>
      <c r="L23" s="342" t="s">
        <v>28</v>
      </c>
      <c r="M23" s="342"/>
      <c r="N23" s="342"/>
      <c r="O23" s="342"/>
      <c r="P23" s="342"/>
      <c r="Q23" s="342" t="s">
        <v>28</v>
      </c>
      <c r="R23" s="342"/>
      <c r="S23" s="342"/>
      <c r="T23" s="342" t="s">
        <v>28</v>
      </c>
      <c r="U23" s="342"/>
      <c r="V23" s="351" t="s">
        <v>28</v>
      </c>
      <c r="W23" s="350"/>
      <c r="X23" s="342"/>
      <c r="Y23" s="342" t="s">
        <v>28</v>
      </c>
      <c r="Z23" s="342"/>
      <c r="AA23" s="342" t="s">
        <v>28</v>
      </c>
      <c r="AB23" s="342"/>
      <c r="AC23" s="342" t="s">
        <v>28</v>
      </c>
      <c r="AD23" s="342"/>
      <c r="AE23" s="342"/>
      <c r="AF23" s="351"/>
      <c r="AG23" s="339"/>
      <c r="AH23" s="318" t="s">
        <v>1071</v>
      </c>
      <c r="AI23" s="319" t="s">
        <v>599</v>
      </c>
      <c r="AJ23" s="132" t="s">
        <v>978</v>
      </c>
      <c r="AK23" s="133" t="s">
        <v>309</v>
      </c>
      <c r="AL23" s="134">
        <v>6</v>
      </c>
      <c r="AM23" s="134" t="s">
        <v>1017</v>
      </c>
      <c r="AN23" s="321">
        <v>28</v>
      </c>
      <c r="AO23" s="352">
        <v>2</v>
      </c>
      <c r="AP23" s="349"/>
      <c r="AQ23" s="349"/>
      <c r="AR23" s="349"/>
      <c r="AS23" s="349"/>
      <c r="AT23" s="349"/>
      <c r="AU23" s="349">
        <v>22</v>
      </c>
      <c r="AV23" s="349"/>
      <c r="AW23" s="349">
        <v>16</v>
      </c>
      <c r="AX23" s="349">
        <v>55</v>
      </c>
      <c r="AY23" s="353">
        <v>55</v>
      </c>
      <c r="AZ23" s="352">
        <v>60</v>
      </c>
      <c r="BA23" s="353">
        <v>90</v>
      </c>
      <c r="BB23" s="349">
        <v>150</v>
      </c>
    </row>
    <row r="24" spans="1:54" ht="44.25" thickBot="1" x14ac:dyDescent="0.3">
      <c r="B24" s="318" t="s">
        <v>1072</v>
      </c>
      <c r="C24" s="319" t="s">
        <v>600</v>
      </c>
      <c r="D24" s="134">
        <v>6</v>
      </c>
      <c r="E24" s="342" t="s">
        <v>978</v>
      </c>
      <c r="F24" s="350"/>
      <c r="G24" s="342"/>
      <c r="H24" s="342"/>
      <c r="I24" s="342"/>
      <c r="J24" s="342"/>
      <c r="K24" s="342"/>
      <c r="L24" s="342"/>
      <c r="M24" s="342"/>
      <c r="N24" s="342" t="s">
        <v>28</v>
      </c>
      <c r="O24" s="342"/>
      <c r="P24" s="342"/>
      <c r="Q24" s="342" t="s">
        <v>28</v>
      </c>
      <c r="R24" s="342"/>
      <c r="S24" s="342" t="s">
        <v>28</v>
      </c>
      <c r="T24" s="342" t="s">
        <v>28</v>
      </c>
      <c r="U24" s="342" t="s">
        <v>28</v>
      </c>
      <c r="V24" s="351"/>
      <c r="W24" s="350"/>
      <c r="X24" s="342"/>
      <c r="Y24" s="342" t="s">
        <v>28</v>
      </c>
      <c r="Z24" s="342"/>
      <c r="AA24" s="342"/>
      <c r="AB24" s="342" t="s">
        <v>28</v>
      </c>
      <c r="AC24" s="342"/>
      <c r="AD24" s="342"/>
      <c r="AE24" s="342"/>
      <c r="AF24" s="351"/>
      <c r="AG24" s="339"/>
      <c r="AH24" s="318" t="s">
        <v>1072</v>
      </c>
      <c r="AI24" s="319" t="s">
        <v>600</v>
      </c>
      <c r="AJ24" s="132" t="s">
        <v>978</v>
      </c>
      <c r="AK24" s="315" t="s">
        <v>283</v>
      </c>
      <c r="AL24" s="134">
        <v>6</v>
      </c>
      <c r="AM24" s="134" t="s">
        <v>1017</v>
      </c>
      <c r="AN24" s="321">
        <v>28</v>
      </c>
      <c r="AO24" s="352">
        <v>2</v>
      </c>
      <c r="AP24" s="349"/>
      <c r="AQ24" s="349"/>
      <c r="AR24" s="349"/>
      <c r="AS24" s="349"/>
      <c r="AT24" s="349"/>
      <c r="AU24" s="349">
        <v>23</v>
      </c>
      <c r="AV24" s="349"/>
      <c r="AW24" s="349">
        <v>20</v>
      </c>
      <c r="AX24" s="349">
        <v>20</v>
      </c>
      <c r="AY24" s="349">
        <v>85</v>
      </c>
      <c r="AZ24" s="360">
        <v>60</v>
      </c>
      <c r="BA24" s="353">
        <v>90</v>
      </c>
      <c r="BB24" s="361">
        <v>150</v>
      </c>
    </row>
    <row r="25" spans="1:54" ht="15.75" thickBot="1" x14ac:dyDescent="0.3"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  <c r="AT25" s="339"/>
      <c r="AU25" s="339"/>
      <c r="AV25" s="339"/>
      <c r="AW25" s="339"/>
      <c r="AX25" s="339"/>
      <c r="AY25" s="339"/>
      <c r="AZ25" s="362">
        <f>SUM(AZ14:AZ24)</f>
        <v>610</v>
      </c>
      <c r="BA25" s="362">
        <f>SUM(BA14:BA24)</f>
        <v>890</v>
      </c>
      <c r="BB25" s="362">
        <f>SUM(BB14:BB24)</f>
        <v>1500</v>
      </c>
    </row>
    <row r="26" spans="1:54" ht="15.75" thickBot="1" x14ac:dyDescent="0.3"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39"/>
      <c r="AZ26" s="363">
        <f>AZ25/BB25</f>
        <v>0.40666666666666668</v>
      </c>
      <c r="BA26" s="363">
        <f>BA25/BB25</f>
        <v>0.59333333333333338</v>
      </c>
      <c r="BB26" s="363">
        <f>BB25/BB25</f>
        <v>1</v>
      </c>
    </row>
    <row r="27" spans="1:54" ht="15.75" thickBot="1" x14ac:dyDescent="0.3">
      <c r="B27" s="151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39"/>
      <c r="BA27" s="339"/>
      <c r="BB27" s="339"/>
    </row>
    <row r="28" spans="1:54" ht="15.75" thickBot="1" x14ac:dyDescent="0.3">
      <c r="B28" s="339"/>
      <c r="C28" s="339"/>
      <c r="D28" s="339"/>
      <c r="E28" s="339"/>
      <c r="F28" s="1002" t="s">
        <v>935</v>
      </c>
      <c r="G28" s="1003"/>
      <c r="H28" s="1003"/>
      <c r="I28" s="1003"/>
      <c r="J28" s="1003"/>
      <c r="K28" s="1003"/>
      <c r="L28" s="1003"/>
      <c r="M28" s="1003"/>
      <c r="N28" s="1003"/>
      <c r="O28" s="1003"/>
      <c r="P28" s="1003"/>
      <c r="Q28" s="1003"/>
      <c r="R28" s="1003"/>
      <c r="S28" s="1003"/>
      <c r="T28" s="1003"/>
      <c r="U28" s="1003"/>
      <c r="V28" s="1004"/>
      <c r="W28" s="1002" t="s">
        <v>936</v>
      </c>
      <c r="X28" s="1003"/>
      <c r="Y28" s="1003"/>
      <c r="Z28" s="1003"/>
      <c r="AA28" s="1003"/>
      <c r="AB28" s="1003"/>
      <c r="AC28" s="1003"/>
      <c r="AD28" s="1003"/>
      <c r="AE28" s="1003"/>
      <c r="AF28" s="1004"/>
      <c r="AG28" s="339"/>
      <c r="AH28" s="339"/>
      <c r="AI28" s="339"/>
      <c r="AJ28" s="339"/>
      <c r="AK28" s="339"/>
      <c r="AL28" s="339"/>
      <c r="AM28" s="339"/>
      <c r="AN28" s="339"/>
      <c r="AO28" s="1002" t="s">
        <v>1050</v>
      </c>
      <c r="AP28" s="1003"/>
      <c r="AQ28" s="1003"/>
      <c r="AR28" s="1003"/>
      <c r="AS28" s="1003"/>
      <c r="AT28" s="1003"/>
      <c r="AU28" s="1003"/>
      <c r="AV28" s="1003"/>
      <c r="AW28" s="1003"/>
      <c r="AX28" s="1003"/>
      <c r="AY28" s="1003"/>
      <c r="AZ28" s="1003"/>
      <c r="BA28" s="1003"/>
      <c r="BB28" s="1004"/>
    </row>
    <row r="29" spans="1:54" ht="53.25" thickBot="1" x14ac:dyDescent="0.3">
      <c r="A29" s="375"/>
      <c r="B29" s="195" t="s">
        <v>938</v>
      </c>
      <c r="C29" s="195" t="s">
        <v>272</v>
      </c>
      <c r="D29" s="195" t="s">
        <v>1049</v>
      </c>
      <c r="E29" s="195" t="s">
        <v>273</v>
      </c>
      <c r="F29" s="376" t="s">
        <v>941</v>
      </c>
      <c r="G29" s="376" t="s">
        <v>942</v>
      </c>
      <c r="H29" s="376" t="s">
        <v>943</v>
      </c>
      <c r="I29" s="376" t="s">
        <v>944</v>
      </c>
      <c r="J29" s="376" t="s">
        <v>945</v>
      </c>
      <c r="K29" s="376" t="s">
        <v>946</v>
      </c>
      <c r="L29" s="376" t="s">
        <v>1051</v>
      </c>
      <c r="M29" s="376" t="s">
        <v>1052</v>
      </c>
      <c r="N29" s="376" t="s">
        <v>1053</v>
      </c>
      <c r="O29" s="376" t="s">
        <v>1054</v>
      </c>
      <c r="P29" s="376" t="s">
        <v>1055</v>
      </c>
      <c r="Q29" s="376" t="s">
        <v>1056</v>
      </c>
      <c r="R29" s="376" t="s">
        <v>1057</v>
      </c>
      <c r="S29" s="376" t="s">
        <v>1058</v>
      </c>
      <c r="T29" s="376" t="s">
        <v>1059</v>
      </c>
      <c r="U29" s="376" t="s">
        <v>1060</v>
      </c>
      <c r="V29" s="376" t="s">
        <v>1061</v>
      </c>
      <c r="W29" s="376" t="s">
        <v>947</v>
      </c>
      <c r="X29" s="376" t="s">
        <v>948</v>
      </c>
      <c r="Y29" s="376" t="s">
        <v>949</v>
      </c>
      <c r="Z29" s="376" t="s">
        <v>950</v>
      </c>
      <c r="AA29" s="376" t="s">
        <v>951</v>
      </c>
      <c r="AB29" s="376" t="s">
        <v>952</v>
      </c>
      <c r="AC29" s="376" t="s">
        <v>953</v>
      </c>
      <c r="AD29" s="376" t="s">
        <v>954</v>
      </c>
      <c r="AE29" s="376" t="s">
        <v>955</v>
      </c>
      <c r="AF29" s="377" t="s">
        <v>956</v>
      </c>
      <c r="AG29" s="378"/>
      <c r="AH29" s="194" t="s">
        <v>938</v>
      </c>
      <c r="AI29" s="194" t="s">
        <v>272</v>
      </c>
      <c r="AJ29" s="194" t="s">
        <v>273</v>
      </c>
      <c r="AK29" s="194" t="s">
        <v>274</v>
      </c>
      <c r="AL29" s="194" t="s">
        <v>1049</v>
      </c>
      <c r="AM29" s="194" t="s">
        <v>961</v>
      </c>
      <c r="AN29" s="374" t="s">
        <v>962</v>
      </c>
      <c r="AO29" s="376" t="s">
        <v>963</v>
      </c>
      <c r="AP29" s="376" t="s">
        <v>964</v>
      </c>
      <c r="AQ29" s="376" t="s">
        <v>965</v>
      </c>
      <c r="AR29" s="376" t="s">
        <v>966</v>
      </c>
      <c r="AS29" s="376" t="s">
        <v>967</v>
      </c>
      <c r="AT29" s="376" t="s">
        <v>968</v>
      </c>
      <c r="AU29" s="376" t="s">
        <v>969</v>
      </c>
      <c r="AV29" s="376" t="s">
        <v>970</v>
      </c>
      <c r="AW29" s="376" t="s">
        <v>971</v>
      </c>
      <c r="AX29" s="376" t="s">
        <v>972</v>
      </c>
      <c r="AY29" s="377" t="s">
        <v>973</v>
      </c>
      <c r="AZ29" s="311" t="s">
        <v>974</v>
      </c>
      <c r="BA29" s="311" t="s">
        <v>975</v>
      </c>
      <c r="BB29" s="311" t="s">
        <v>976</v>
      </c>
    </row>
    <row r="30" spans="1:54" ht="22.5" x14ac:dyDescent="0.25">
      <c r="B30" s="312">
        <v>37214003</v>
      </c>
      <c r="C30" s="328" t="s">
        <v>601</v>
      </c>
      <c r="D30" s="121">
        <v>6</v>
      </c>
      <c r="E30" s="342" t="s">
        <v>1002</v>
      </c>
      <c r="F30" s="343" t="s">
        <v>28</v>
      </c>
      <c r="G30" s="344"/>
      <c r="H30" s="344"/>
      <c r="I30" s="344"/>
      <c r="J30" s="344"/>
      <c r="K30" s="344"/>
      <c r="L30" s="344" t="s">
        <v>28</v>
      </c>
      <c r="M30" s="344"/>
      <c r="N30" s="344"/>
      <c r="O30" s="344"/>
      <c r="P30" s="344"/>
      <c r="Q30" s="344" t="s">
        <v>28</v>
      </c>
      <c r="R30" s="344"/>
      <c r="S30" s="344" t="s">
        <v>28</v>
      </c>
      <c r="T30" s="344" t="s">
        <v>28</v>
      </c>
      <c r="U30" s="344"/>
      <c r="V30" s="345" t="s">
        <v>28</v>
      </c>
      <c r="W30" s="343"/>
      <c r="X30" s="344"/>
      <c r="Y30" s="344"/>
      <c r="Z30" s="344"/>
      <c r="AA30" s="344"/>
      <c r="AB30" s="344" t="s">
        <v>28</v>
      </c>
      <c r="AC30" s="344" t="s">
        <v>28</v>
      </c>
      <c r="AD30" s="344" t="s">
        <v>28</v>
      </c>
      <c r="AE30" s="344"/>
      <c r="AF30" s="345"/>
      <c r="AG30" s="339"/>
      <c r="AH30" s="312">
        <v>37214003</v>
      </c>
      <c r="AI30" s="328" t="s">
        <v>601</v>
      </c>
      <c r="AJ30" s="133" t="s">
        <v>1002</v>
      </c>
      <c r="AK30" s="133" t="s">
        <v>283</v>
      </c>
      <c r="AL30" s="134">
        <v>6</v>
      </c>
      <c r="AM30" s="122" t="s">
        <v>1017</v>
      </c>
      <c r="AN30" s="317">
        <v>33</v>
      </c>
      <c r="AO30" s="346"/>
      <c r="AP30" s="347"/>
      <c r="AQ30" s="347"/>
      <c r="AR30" s="347">
        <v>26</v>
      </c>
      <c r="AS30" s="347"/>
      <c r="AT30" s="347"/>
      <c r="AU30" s="347">
        <v>24</v>
      </c>
      <c r="AV30" s="347"/>
      <c r="AW30" s="347"/>
      <c r="AX30" s="347">
        <v>41</v>
      </c>
      <c r="AY30" s="348">
        <v>59</v>
      </c>
      <c r="AZ30" s="346">
        <v>65</v>
      </c>
      <c r="BA30" s="348">
        <v>85</v>
      </c>
      <c r="BB30" s="349">
        <f>SUM(AZ30+BA30)</f>
        <v>150</v>
      </c>
    </row>
    <row r="31" spans="1:54" ht="33" x14ac:dyDescent="0.25">
      <c r="B31" s="318">
        <v>37214004</v>
      </c>
      <c r="C31" s="328" t="s">
        <v>602</v>
      </c>
      <c r="D31" s="134">
        <v>6</v>
      </c>
      <c r="E31" s="342" t="s">
        <v>1002</v>
      </c>
      <c r="F31" s="350" t="s">
        <v>28</v>
      </c>
      <c r="G31" s="342"/>
      <c r="H31" s="342"/>
      <c r="I31" s="342"/>
      <c r="J31" s="342"/>
      <c r="K31" s="342"/>
      <c r="L31" s="342" t="s">
        <v>28</v>
      </c>
      <c r="M31" s="342"/>
      <c r="N31" s="342" t="s">
        <v>28</v>
      </c>
      <c r="O31" s="342"/>
      <c r="P31" s="342"/>
      <c r="Q31" s="342"/>
      <c r="R31" s="342"/>
      <c r="S31" s="342" t="s">
        <v>28</v>
      </c>
      <c r="T31" s="342" t="s">
        <v>28</v>
      </c>
      <c r="U31" s="342" t="s">
        <v>28</v>
      </c>
      <c r="V31" s="351"/>
      <c r="W31" s="350"/>
      <c r="X31" s="342"/>
      <c r="Y31" s="342"/>
      <c r="Z31" s="342"/>
      <c r="AA31" s="342"/>
      <c r="AB31" s="342" t="s">
        <v>28</v>
      </c>
      <c r="AC31" s="342"/>
      <c r="AD31" s="342" t="s">
        <v>28</v>
      </c>
      <c r="AE31" s="342"/>
      <c r="AF31" s="351"/>
      <c r="AG31" s="339"/>
      <c r="AH31" s="318">
        <v>37214004</v>
      </c>
      <c r="AI31" s="328" t="s">
        <v>602</v>
      </c>
      <c r="AJ31" s="133" t="s">
        <v>1002</v>
      </c>
      <c r="AK31" s="133" t="s">
        <v>283</v>
      </c>
      <c r="AL31" s="134">
        <v>6</v>
      </c>
      <c r="AM31" s="135" t="s">
        <v>1017</v>
      </c>
      <c r="AN31" s="321">
        <v>36</v>
      </c>
      <c r="AO31" s="352"/>
      <c r="AP31" s="349"/>
      <c r="AQ31" s="349"/>
      <c r="AR31" s="349">
        <v>16</v>
      </c>
      <c r="AS31" s="349"/>
      <c r="AT31" s="349"/>
      <c r="AU31" s="349">
        <v>14</v>
      </c>
      <c r="AV31" s="349"/>
      <c r="AW31" s="349"/>
      <c r="AX31" s="349">
        <v>38</v>
      </c>
      <c r="AY31" s="353">
        <v>82</v>
      </c>
      <c r="AZ31" s="352">
        <v>62</v>
      </c>
      <c r="BA31" s="353">
        <v>88</v>
      </c>
      <c r="BB31" s="349">
        <f>SUM(AZ31+BA31)</f>
        <v>150</v>
      </c>
    </row>
    <row r="32" spans="1:54" ht="33" x14ac:dyDescent="0.25">
      <c r="B32" s="318">
        <v>37214008</v>
      </c>
      <c r="C32" s="328" t="s">
        <v>603</v>
      </c>
      <c r="D32" s="134">
        <v>6</v>
      </c>
      <c r="E32" s="342" t="s">
        <v>1002</v>
      </c>
      <c r="F32" s="350"/>
      <c r="G32" s="342" t="s">
        <v>28</v>
      </c>
      <c r="H32" s="342"/>
      <c r="I32" s="342"/>
      <c r="J32" s="342"/>
      <c r="K32" s="342"/>
      <c r="L32" s="342" t="s">
        <v>28</v>
      </c>
      <c r="M32" s="342"/>
      <c r="N32" s="342"/>
      <c r="O32" s="342"/>
      <c r="P32" s="342"/>
      <c r="Q32" s="342"/>
      <c r="R32" s="342"/>
      <c r="S32" s="342"/>
      <c r="T32" s="342" t="s">
        <v>28</v>
      </c>
      <c r="U32" s="342" t="s">
        <v>28</v>
      </c>
      <c r="V32" s="351" t="s">
        <v>28</v>
      </c>
      <c r="W32" s="350"/>
      <c r="X32" s="342"/>
      <c r="Y32" s="342" t="s">
        <v>28</v>
      </c>
      <c r="Z32" s="342"/>
      <c r="AA32" s="342"/>
      <c r="AB32" s="342"/>
      <c r="AC32" s="342" t="s">
        <v>28</v>
      </c>
      <c r="AD32" s="342"/>
      <c r="AE32" s="342"/>
      <c r="AF32" s="351" t="s">
        <v>28</v>
      </c>
      <c r="AG32" s="339"/>
      <c r="AH32" s="318">
        <v>37214008</v>
      </c>
      <c r="AI32" s="328" t="s">
        <v>603</v>
      </c>
      <c r="AJ32" s="133" t="s">
        <v>1002</v>
      </c>
      <c r="AK32" s="133" t="s">
        <v>283</v>
      </c>
      <c r="AL32" s="134">
        <v>6</v>
      </c>
      <c r="AM32" s="135" t="s">
        <v>1017</v>
      </c>
      <c r="AN32" s="321">
        <v>23</v>
      </c>
      <c r="AO32" s="352">
        <v>2</v>
      </c>
      <c r="AP32" s="349"/>
      <c r="AQ32" s="349"/>
      <c r="AR32" s="349"/>
      <c r="AS32" s="349"/>
      <c r="AT32" s="349"/>
      <c r="AU32" s="349">
        <v>22</v>
      </c>
      <c r="AV32" s="349">
        <v>55</v>
      </c>
      <c r="AW32" s="349"/>
      <c r="AX32" s="349">
        <v>16</v>
      </c>
      <c r="AY32" s="353">
        <v>55</v>
      </c>
      <c r="AZ32" s="352">
        <v>60</v>
      </c>
      <c r="BA32" s="353">
        <v>90</v>
      </c>
      <c r="BB32" s="349">
        <f>SUM(AZ32+BA32)</f>
        <v>150</v>
      </c>
    </row>
    <row r="33" spans="2:54" ht="43.5" x14ac:dyDescent="0.25">
      <c r="B33" s="318">
        <v>37214009</v>
      </c>
      <c r="C33" s="328" t="s">
        <v>604</v>
      </c>
      <c r="D33" s="134">
        <v>12</v>
      </c>
      <c r="E33" s="342" t="s">
        <v>1002</v>
      </c>
      <c r="F33" s="350"/>
      <c r="G33" s="342"/>
      <c r="H33" s="342"/>
      <c r="I33" s="342" t="s">
        <v>28</v>
      </c>
      <c r="J33" s="342"/>
      <c r="K33" s="342"/>
      <c r="L33" s="342" t="s">
        <v>28</v>
      </c>
      <c r="M33" s="342"/>
      <c r="N33" s="342"/>
      <c r="O33" s="342"/>
      <c r="P33" s="342"/>
      <c r="Q33" s="342" t="s">
        <v>28</v>
      </c>
      <c r="R33" s="342"/>
      <c r="S33" s="342"/>
      <c r="T33" s="342" t="s">
        <v>28</v>
      </c>
      <c r="U33" s="342" t="s">
        <v>28</v>
      </c>
      <c r="V33" s="351" t="s">
        <v>28</v>
      </c>
      <c r="W33" s="350"/>
      <c r="X33" s="342"/>
      <c r="Y33" s="342" t="s">
        <v>28</v>
      </c>
      <c r="Z33" s="342"/>
      <c r="AA33" s="342" t="s">
        <v>28</v>
      </c>
      <c r="AB33" s="342"/>
      <c r="AC33" s="342" t="s">
        <v>28</v>
      </c>
      <c r="AD33" s="342"/>
      <c r="AE33" s="342"/>
      <c r="AF33" s="351" t="s">
        <v>28</v>
      </c>
      <c r="AG33" s="339"/>
      <c r="AH33" s="318">
        <v>37214009</v>
      </c>
      <c r="AI33" s="328" t="s">
        <v>604</v>
      </c>
      <c r="AJ33" s="133" t="s">
        <v>1002</v>
      </c>
      <c r="AK33" s="133" t="s">
        <v>283</v>
      </c>
      <c r="AL33" s="134">
        <v>6</v>
      </c>
      <c r="AM33" s="135" t="s">
        <v>1017</v>
      </c>
      <c r="AN33" s="321">
        <v>25</v>
      </c>
      <c r="AO33" s="352">
        <v>2</v>
      </c>
      <c r="AP33" s="349">
        <v>50</v>
      </c>
      <c r="AQ33" s="349">
        <v>27</v>
      </c>
      <c r="AR33" s="349"/>
      <c r="AS33" s="349"/>
      <c r="AT33" s="349"/>
      <c r="AU33" s="349"/>
      <c r="AV33" s="349"/>
      <c r="AW33" s="349"/>
      <c r="AX33" s="349">
        <v>16</v>
      </c>
      <c r="AY33" s="353">
        <v>55</v>
      </c>
      <c r="AZ33" s="352">
        <v>60</v>
      </c>
      <c r="BA33" s="353">
        <v>90</v>
      </c>
      <c r="BB33" s="349">
        <f>SUM(AZ33+BA33)</f>
        <v>150</v>
      </c>
    </row>
    <row r="34" spans="2:54" x14ac:dyDescent="0.25">
      <c r="B34" s="318">
        <v>37214107</v>
      </c>
      <c r="C34" s="328" t="s">
        <v>605</v>
      </c>
      <c r="D34" s="134"/>
      <c r="E34" s="342" t="s">
        <v>1002</v>
      </c>
      <c r="F34" s="354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6"/>
      <c r="W34" s="354"/>
      <c r="X34" s="355"/>
      <c r="Y34" s="355"/>
      <c r="Z34" s="355"/>
      <c r="AA34" s="355"/>
      <c r="AB34" s="355"/>
      <c r="AC34" s="355"/>
      <c r="AD34" s="355"/>
      <c r="AE34" s="355"/>
      <c r="AF34" s="356"/>
      <c r="AG34" s="339"/>
      <c r="AH34" s="322">
        <v>37214107</v>
      </c>
      <c r="AI34" s="329" t="s">
        <v>605</v>
      </c>
      <c r="AJ34" s="325" t="s">
        <v>1002</v>
      </c>
      <c r="AK34" s="325" t="s">
        <v>309</v>
      </c>
      <c r="AL34" s="326">
        <v>12</v>
      </c>
      <c r="AM34" s="330"/>
      <c r="AN34" s="327"/>
      <c r="AO34" s="357"/>
      <c r="AP34" s="358"/>
      <c r="AQ34" s="358"/>
      <c r="AR34" s="358"/>
      <c r="AS34" s="358"/>
      <c r="AT34" s="358"/>
      <c r="AU34" s="358"/>
      <c r="AV34" s="358"/>
      <c r="AW34" s="358"/>
      <c r="AX34" s="358"/>
      <c r="AY34" s="359"/>
      <c r="AZ34" s="357"/>
      <c r="BA34" s="359"/>
      <c r="BB34" s="358"/>
    </row>
    <row r="35" spans="2:54" x14ac:dyDescent="0.25">
      <c r="B35" s="318"/>
      <c r="C35" s="331" t="s">
        <v>1073</v>
      </c>
      <c r="D35" s="134"/>
      <c r="E35" s="342" t="s">
        <v>1002</v>
      </c>
      <c r="F35" s="350"/>
      <c r="G35" s="342"/>
      <c r="H35" s="342"/>
      <c r="I35" s="342"/>
      <c r="J35" s="342"/>
      <c r="K35" s="342"/>
      <c r="L35" s="342"/>
      <c r="M35" s="342" t="s">
        <v>28</v>
      </c>
      <c r="N35" s="342"/>
      <c r="O35" s="342"/>
      <c r="P35" s="342"/>
      <c r="Q35" s="342" t="s">
        <v>28</v>
      </c>
      <c r="R35" s="342"/>
      <c r="S35" s="342" t="s">
        <v>28</v>
      </c>
      <c r="T35" s="342" t="s">
        <v>28</v>
      </c>
      <c r="U35" s="342"/>
      <c r="V35" s="351"/>
      <c r="W35" s="350"/>
      <c r="X35" s="342"/>
      <c r="Y35" s="342"/>
      <c r="Z35" s="342"/>
      <c r="AA35" s="342" t="s">
        <v>28</v>
      </c>
      <c r="AB35" s="342"/>
      <c r="AC35" s="342"/>
      <c r="AD35" s="342" t="s">
        <v>28</v>
      </c>
      <c r="AE35" s="342"/>
      <c r="AF35" s="351" t="s">
        <v>28</v>
      </c>
      <c r="AG35" s="339"/>
      <c r="AH35" s="318"/>
      <c r="AI35" s="331" t="s">
        <v>1073</v>
      </c>
      <c r="AJ35" s="133" t="s">
        <v>1002</v>
      </c>
      <c r="AK35" s="133"/>
      <c r="AL35" s="134"/>
      <c r="AM35" s="135" t="s">
        <v>1017</v>
      </c>
      <c r="AN35" s="321">
        <v>31</v>
      </c>
      <c r="AO35" s="352"/>
      <c r="AP35" s="349"/>
      <c r="AQ35" s="349"/>
      <c r="AR35" s="349">
        <v>69</v>
      </c>
      <c r="AS35" s="349">
        <v>33</v>
      </c>
      <c r="AT35" s="349"/>
      <c r="AU35" s="349"/>
      <c r="AV35" s="349"/>
      <c r="AW35" s="349"/>
      <c r="AX35" s="349">
        <v>15</v>
      </c>
      <c r="AY35" s="353">
        <v>33</v>
      </c>
      <c r="AZ35" s="352">
        <v>66</v>
      </c>
      <c r="BA35" s="353">
        <v>84</v>
      </c>
      <c r="BB35" s="349">
        <f t="shared" ref="BB35:BB40" si="0">SUM(AZ35+BA35)</f>
        <v>150</v>
      </c>
    </row>
    <row r="36" spans="2:54" x14ac:dyDescent="0.25">
      <c r="B36" s="318"/>
      <c r="C36" s="331" t="s">
        <v>1074</v>
      </c>
      <c r="D36" s="134">
        <v>6</v>
      </c>
      <c r="E36" s="342" t="s">
        <v>1002</v>
      </c>
      <c r="F36" s="350"/>
      <c r="G36" s="342"/>
      <c r="H36" s="342"/>
      <c r="I36" s="342"/>
      <c r="J36" s="342"/>
      <c r="K36" s="342"/>
      <c r="L36" s="342"/>
      <c r="M36" s="342" t="s">
        <v>28</v>
      </c>
      <c r="N36" s="342"/>
      <c r="O36" s="342"/>
      <c r="P36" s="342"/>
      <c r="Q36" s="342" t="s">
        <v>28</v>
      </c>
      <c r="R36" s="342"/>
      <c r="S36" s="342" t="s">
        <v>28</v>
      </c>
      <c r="T36" s="342" t="s">
        <v>28</v>
      </c>
      <c r="U36" s="342"/>
      <c r="V36" s="351"/>
      <c r="W36" s="350"/>
      <c r="X36" s="342"/>
      <c r="Y36" s="342"/>
      <c r="Z36" s="342"/>
      <c r="AA36" s="342" t="s">
        <v>28</v>
      </c>
      <c r="AB36" s="342"/>
      <c r="AC36" s="342" t="s">
        <v>28</v>
      </c>
      <c r="AD36" s="342"/>
      <c r="AE36" s="342"/>
      <c r="AF36" s="351" t="s">
        <v>28</v>
      </c>
      <c r="AG36" s="339"/>
      <c r="AH36" s="318"/>
      <c r="AI36" s="331" t="s">
        <v>1074</v>
      </c>
      <c r="AJ36" s="133" t="s">
        <v>1002</v>
      </c>
      <c r="AK36" s="133"/>
      <c r="AL36" s="134"/>
      <c r="AM36" s="135" t="s">
        <v>1017</v>
      </c>
      <c r="AN36" s="321">
        <v>31</v>
      </c>
      <c r="AO36" s="352"/>
      <c r="AP36" s="349"/>
      <c r="AQ36" s="349"/>
      <c r="AR36" s="349">
        <v>62</v>
      </c>
      <c r="AS36" s="349"/>
      <c r="AT36" s="349">
        <v>10</v>
      </c>
      <c r="AU36" s="349">
        <v>23</v>
      </c>
      <c r="AV36" s="349"/>
      <c r="AW36" s="349"/>
      <c r="AX36" s="349">
        <v>14</v>
      </c>
      <c r="AY36" s="353">
        <v>41</v>
      </c>
      <c r="AZ36" s="352">
        <v>66</v>
      </c>
      <c r="BA36" s="353">
        <v>84</v>
      </c>
      <c r="BB36" s="349">
        <f t="shared" si="0"/>
        <v>150</v>
      </c>
    </row>
    <row r="37" spans="2:54" x14ac:dyDescent="0.25">
      <c r="B37" s="318">
        <v>37214105</v>
      </c>
      <c r="C37" s="328" t="s">
        <v>606</v>
      </c>
      <c r="D37" s="134">
        <v>6</v>
      </c>
      <c r="E37" s="342" t="s">
        <v>1002</v>
      </c>
      <c r="F37" s="350"/>
      <c r="G37" s="342"/>
      <c r="H37" s="342"/>
      <c r="I37" s="342"/>
      <c r="J37" s="342"/>
      <c r="K37" s="342"/>
      <c r="L37" s="342"/>
      <c r="M37" s="342" t="s">
        <v>28</v>
      </c>
      <c r="N37" s="342"/>
      <c r="O37" s="342"/>
      <c r="P37" s="342"/>
      <c r="Q37" s="342" t="s">
        <v>28</v>
      </c>
      <c r="R37" s="342"/>
      <c r="S37" s="342"/>
      <c r="T37" s="342" t="s">
        <v>28</v>
      </c>
      <c r="U37" s="342"/>
      <c r="V37" s="351"/>
      <c r="W37" s="350"/>
      <c r="X37" s="342"/>
      <c r="Y37" s="342"/>
      <c r="Z37" s="342"/>
      <c r="AA37" s="342" t="s">
        <v>28</v>
      </c>
      <c r="AB37" s="342"/>
      <c r="AC37" s="342"/>
      <c r="AD37" s="342" t="s">
        <v>28</v>
      </c>
      <c r="AE37" s="342"/>
      <c r="AF37" s="351" t="s">
        <v>28</v>
      </c>
      <c r="AG37" s="339"/>
      <c r="AH37" s="318">
        <v>37214105</v>
      </c>
      <c r="AI37" s="328" t="s">
        <v>606</v>
      </c>
      <c r="AJ37" s="133" t="s">
        <v>1002</v>
      </c>
      <c r="AK37" s="133" t="s">
        <v>309</v>
      </c>
      <c r="AL37" s="134">
        <v>6</v>
      </c>
      <c r="AM37" s="135" t="s">
        <v>992</v>
      </c>
      <c r="AN37" s="321">
        <v>20</v>
      </c>
      <c r="AO37" s="352"/>
      <c r="AP37" s="349"/>
      <c r="AQ37" s="349"/>
      <c r="AR37" s="349">
        <v>46</v>
      </c>
      <c r="AS37" s="349"/>
      <c r="AT37" s="349">
        <v>12</v>
      </c>
      <c r="AU37" s="349">
        <v>10</v>
      </c>
      <c r="AV37" s="349"/>
      <c r="AW37" s="349">
        <v>38</v>
      </c>
      <c r="AX37" s="349"/>
      <c r="AY37" s="353">
        <v>44</v>
      </c>
      <c r="AZ37" s="352">
        <v>60</v>
      </c>
      <c r="BA37" s="353">
        <v>90</v>
      </c>
      <c r="BB37" s="349">
        <f t="shared" si="0"/>
        <v>150</v>
      </c>
    </row>
    <row r="38" spans="2:54" ht="22.5" x14ac:dyDescent="0.25">
      <c r="B38" s="318">
        <v>37214109</v>
      </c>
      <c r="C38" s="328" t="s">
        <v>607</v>
      </c>
      <c r="D38" s="134">
        <v>6</v>
      </c>
      <c r="E38" s="342" t="s">
        <v>1002</v>
      </c>
      <c r="F38" s="350"/>
      <c r="G38" s="342" t="s">
        <v>28</v>
      </c>
      <c r="H38" s="342"/>
      <c r="I38" s="342"/>
      <c r="J38" s="342"/>
      <c r="K38" s="342"/>
      <c r="L38" s="342"/>
      <c r="M38" s="342"/>
      <c r="N38" s="342" t="s">
        <v>28</v>
      </c>
      <c r="O38" s="342"/>
      <c r="P38" s="342"/>
      <c r="Q38" s="342"/>
      <c r="R38" s="342"/>
      <c r="S38" s="342" t="s">
        <v>28</v>
      </c>
      <c r="T38" s="342" t="s">
        <v>28</v>
      </c>
      <c r="U38" s="342"/>
      <c r="V38" s="351"/>
      <c r="W38" s="350"/>
      <c r="X38" s="342"/>
      <c r="Y38" s="342"/>
      <c r="Z38" s="342"/>
      <c r="AA38" s="342" t="s">
        <v>28</v>
      </c>
      <c r="AB38" s="342"/>
      <c r="AC38" s="342"/>
      <c r="AD38" s="342"/>
      <c r="AE38" s="342"/>
      <c r="AF38" s="351" t="s">
        <v>28</v>
      </c>
      <c r="AG38" s="339"/>
      <c r="AH38" s="318">
        <v>37214109</v>
      </c>
      <c r="AI38" s="328" t="s">
        <v>607</v>
      </c>
      <c r="AJ38" s="133" t="s">
        <v>1002</v>
      </c>
      <c r="AK38" s="133" t="s">
        <v>309</v>
      </c>
      <c r="AL38" s="134">
        <v>6</v>
      </c>
      <c r="AM38" s="135" t="s">
        <v>1017</v>
      </c>
      <c r="AN38" s="321">
        <v>27</v>
      </c>
      <c r="AO38" s="352"/>
      <c r="AP38" s="349"/>
      <c r="AQ38" s="349"/>
      <c r="AR38" s="349"/>
      <c r="AS38" s="349"/>
      <c r="AT38" s="349"/>
      <c r="AU38" s="349">
        <v>24</v>
      </c>
      <c r="AV38" s="349"/>
      <c r="AW38" s="349"/>
      <c r="AX38" s="349">
        <v>38</v>
      </c>
      <c r="AY38" s="353">
        <v>88</v>
      </c>
      <c r="AZ38" s="352">
        <v>60</v>
      </c>
      <c r="BA38" s="353">
        <v>90</v>
      </c>
      <c r="BB38" s="349">
        <f t="shared" si="0"/>
        <v>150</v>
      </c>
    </row>
    <row r="39" spans="2:54" ht="54" x14ac:dyDescent="0.25">
      <c r="B39" s="332">
        <v>37214007</v>
      </c>
      <c r="C39" s="320" t="s">
        <v>608</v>
      </c>
      <c r="D39" s="178">
        <v>6</v>
      </c>
      <c r="E39" s="95" t="s">
        <v>1002</v>
      </c>
      <c r="F39" s="364" t="s">
        <v>28</v>
      </c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 t="s">
        <v>28</v>
      </c>
      <c r="R39" s="95"/>
      <c r="S39" s="95" t="s">
        <v>28</v>
      </c>
      <c r="T39" s="95" t="s">
        <v>28</v>
      </c>
      <c r="U39" s="95" t="s">
        <v>28</v>
      </c>
      <c r="V39" s="365"/>
      <c r="W39" s="364"/>
      <c r="X39" s="95"/>
      <c r="Y39" s="95"/>
      <c r="Z39" s="95"/>
      <c r="AA39" s="95"/>
      <c r="AB39" s="95" t="s">
        <v>28</v>
      </c>
      <c r="AC39" s="95" t="s">
        <v>28</v>
      </c>
      <c r="AD39" s="95"/>
      <c r="AE39" s="95"/>
      <c r="AF39" s="365" t="s">
        <v>28</v>
      </c>
      <c r="AG39" s="339"/>
      <c r="AH39" s="318">
        <v>37214007</v>
      </c>
      <c r="AI39" s="328" t="s">
        <v>608</v>
      </c>
      <c r="AJ39" s="133" t="s">
        <v>1002</v>
      </c>
      <c r="AK39" s="133" t="s">
        <v>283</v>
      </c>
      <c r="AL39" s="134">
        <v>6</v>
      </c>
      <c r="AM39" s="135" t="s">
        <v>1017</v>
      </c>
      <c r="AN39" s="321">
        <v>32</v>
      </c>
      <c r="AO39" s="352"/>
      <c r="AP39" s="349"/>
      <c r="AQ39" s="349"/>
      <c r="AR39" s="349"/>
      <c r="AS39" s="349"/>
      <c r="AT39" s="349">
        <v>28</v>
      </c>
      <c r="AU39" s="349"/>
      <c r="AV39" s="349"/>
      <c r="AW39" s="349"/>
      <c r="AX39" s="349">
        <v>61</v>
      </c>
      <c r="AY39" s="353">
        <v>61</v>
      </c>
      <c r="AZ39" s="352">
        <v>60</v>
      </c>
      <c r="BA39" s="353">
        <v>90</v>
      </c>
      <c r="BB39" s="349">
        <f t="shared" si="0"/>
        <v>150</v>
      </c>
    </row>
    <row r="40" spans="2:54" ht="54.75" thickBot="1" x14ac:dyDescent="0.3">
      <c r="B40" s="318">
        <v>37214116</v>
      </c>
      <c r="C40" s="328" t="s">
        <v>609</v>
      </c>
      <c r="D40" s="134">
        <v>6</v>
      </c>
      <c r="E40" s="342" t="s">
        <v>1002</v>
      </c>
      <c r="F40" s="350" t="s">
        <v>28</v>
      </c>
      <c r="G40" s="342" t="s">
        <v>28</v>
      </c>
      <c r="H40" s="342"/>
      <c r="I40" s="342"/>
      <c r="J40" s="342" t="s">
        <v>28</v>
      </c>
      <c r="K40" s="342"/>
      <c r="L40" s="342"/>
      <c r="M40" s="342"/>
      <c r="N40" s="342" t="s">
        <v>28</v>
      </c>
      <c r="O40" s="342"/>
      <c r="P40" s="342"/>
      <c r="Q40" s="342"/>
      <c r="R40" s="342"/>
      <c r="S40" s="342"/>
      <c r="T40" s="342" t="s">
        <v>28</v>
      </c>
      <c r="U40" s="342"/>
      <c r="V40" s="351" t="s">
        <v>28</v>
      </c>
      <c r="W40" s="350"/>
      <c r="X40" s="342"/>
      <c r="Y40" s="342"/>
      <c r="Z40" s="342"/>
      <c r="AA40" s="342" t="s">
        <v>28</v>
      </c>
      <c r="AB40" s="342"/>
      <c r="AC40" s="342"/>
      <c r="AD40" s="342"/>
      <c r="AE40" s="342"/>
      <c r="AF40" s="351" t="s">
        <v>28</v>
      </c>
      <c r="AG40" s="339"/>
      <c r="AH40" s="318">
        <v>37214116</v>
      </c>
      <c r="AI40" s="328" t="s">
        <v>609</v>
      </c>
      <c r="AJ40" s="133" t="s">
        <v>1002</v>
      </c>
      <c r="AK40" s="133" t="s">
        <v>309</v>
      </c>
      <c r="AL40" s="134">
        <v>6</v>
      </c>
      <c r="AM40" s="135" t="s">
        <v>1017</v>
      </c>
      <c r="AN40" s="321">
        <v>31</v>
      </c>
      <c r="AO40" s="352"/>
      <c r="AP40" s="349"/>
      <c r="AQ40" s="349"/>
      <c r="AR40" s="349"/>
      <c r="AS40" s="349"/>
      <c r="AT40" s="349"/>
      <c r="AU40" s="349"/>
      <c r="AV40" s="349">
        <v>14</v>
      </c>
      <c r="AW40" s="349">
        <v>11</v>
      </c>
      <c r="AX40" s="349">
        <v>60</v>
      </c>
      <c r="AY40" s="353">
        <v>65</v>
      </c>
      <c r="AZ40" s="352">
        <v>64</v>
      </c>
      <c r="BA40" s="353">
        <v>86</v>
      </c>
      <c r="BB40" s="349">
        <f t="shared" si="0"/>
        <v>150</v>
      </c>
    </row>
    <row r="41" spans="2:54" ht="15.75" thickBot="1" x14ac:dyDescent="0.3"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39"/>
      <c r="AM41" s="339"/>
      <c r="AN41" s="339"/>
      <c r="AO41" s="339"/>
      <c r="AP41" s="339"/>
      <c r="AQ41" s="339"/>
      <c r="AR41" s="339"/>
      <c r="AS41" s="339"/>
      <c r="AT41" s="339"/>
      <c r="AU41" s="339"/>
      <c r="AV41" s="339"/>
      <c r="AW41" s="339"/>
      <c r="AX41" s="339"/>
      <c r="AY41" s="339"/>
      <c r="AZ41" s="362">
        <f>SUM(AZ30:AZ40)</f>
        <v>623</v>
      </c>
      <c r="BA41" s="362">
        <f>SUM(BA30:BA40)</f>
        <v>877</v>
      </c>
      <c r="BB41" s="362">
        <f>SUM(BB30:BB40)</f>
        <v>1500</v>
      </c>
    </row>
    <row r="42" spans="2:54" ht="15.75" thickBot="1" x14ac:dyDescent="0.3"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339"/>
      <c r="AQ42" s="339"/>
      <c r="AR42" s="339"/>
      <c r="AS42" s="339"/>
      <c r="AT42" s="339"/>
      <c r="AU42" s="339"/>
      <c r="AV42" s="339"/>
      <c r="AW42" s="339"/>
      <c r="AX42" s="339"/>
      <c r="AY42" s="339"/>
      <c r="AZ42" s="363">
        <f>AZ41/BB41</f>
        <v>0.41533333333333333</v>
      </c>
      <c r="BA42" s="363">
        <f>BA41/BB41</f>
        <v>0.58466666666666667</v>
      </c>
      <c r="BB42" s="363">
        <f>BB41/BB41</f>
        <v>1</v>
      </c>
    </row>
    <row r="43" spans="2:54" ht="15.75" thickBot="1" x14ac:dyDescent="0.3"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39"/>
      <c r="AN43" s="339"/>
      <c r="AO43" s="339"/>
      <c r="AP43" s="339"/>
      <c r="AQ43" s="339"/>
      <c r="AR43" s="339"/>
      <c r="AS43" s="339"/>
      <c r="AT43" s="339"/>
      <c r="AU43" s="339"/>
      <c r="AV43" s="339"/>
      <c r="AW43" s="339"/>
      <c r="AX43" s="339"/>
      <c r="AY43" s="339"/>
      <c r="AZ43" s="339"/>
      <c r="BA43" s="339"/>
      <c r="BB43" s="339"/>
    </row>
    <row r="44" spans="2:54" ht="15.75" thickBot="1" x14ac:dyDescent="0.3">
      <c r="B44" s="339"/>
      <c r="C44" s="339"/>
      <c r="D44" s="339"/>
      <c r="E44" s="339"/>
      <c r="F44" s="1002" t="s">
        <v>935</v>
      </c>
      <c r="G44" s="1003"/>
      <c r="H44" s="1003"/>
      <c r="I44" s="1003"/>
      <c r="J44" s="1003"/>
      <c r="K44" s="1003"/>
      <c r="L44" s="1003"/>
      <c r="M44" s="1003"/>
      <c r="N44" s="1003"/>
      <c r="O44" s="1003"/>
      <c r="P44" s="1003"/>
      <c r="Q44" s="1003"/>
      <c r="R44" s="1003"/>
      <c r="S44" s="1003"/>
      <c r="T44" s="1003"/>
      <c r="U44" s="1003"/>
      <c r="V44" s="1004"/>
      <c r="W44" s="1002" t="s">
        <v>936</v>
      </c>
      <c r="X44" s="1003"/>
      <c r="Y44" s="1003"/>
      <c r="Z44" s="1003"/>
      <c r="AA44" s="1003"/>
      <c r="AB44" s="1003"/>
      <c r="AC44" s="1003"/>
      <c r="AD44" s="1003"/>
      <c r="AE44" s="1003"/>
      <c r="AF44" s="1004"/>
      <c r="AG44" s="339"/>
      <c r="AH44" s="339"/>
      <c r="AI44" s="339"/>
      <c r="AJ44" s="339"/>
      <c r="AK44" s="339"/>
      <c r="AL44" s="339"/>
      <c r="AM44" s="339"/>
      <c r="AN44" s="339"/>
      <c r="AO44" s="1002" t="s">
        <v>1050</v>
      </c>
      <c r="AP44" s="1003"/>
      <c r="AQ44" s="1003"/>
      <c r="AR44" s="1003"/>
      <c r="AS44" s="1003"/>
      <c r="AT44" s="1003"/>
      <c r="AU44" s="1003"/>
      <c r="AV44" s="1003"/>
      <c r="AW44" s="1003"/>
      <c r="AX44" s="1003"/>
      <c r="AY44" s="1003"/>
      <c r="AZ44" s="1003"/>
      <c r="BA44" s="1003"/>
      <c r="BB44" s="1004"/>
    </row>
    <row r="45" spans="2:54" s="375" customFormat="1" ht="53.25" thickBot="1" x14ac:dyDescent="0.3">
      <c r="B45" s="195" t="s">
        <v>938</v>
      </c>
      <c r="C45" s="195" t="s">
        <v>272</v>
      </c>
      <c r="D45" s="195" t="s">
        <v>1049</v>
      </c>
      <c r="E45" s="195" t="s">
        <v>273</v>
      </c>
      <c r="F45" s="376" t="s">
        <v>941</v>
      </c>
      <c r="G45" s="376" t="s">
        <v>942</v>
      </c>
      <c r="H45" s="376" t="s">
        <v>943</v>
      </c>
      <c r="I45" s="376" t="s">
        <v>944</v>
      </c>
      <c r="J45" s="376" t="s">
        <v>945</v>
      </c>
      <c r="K45" s="376" t="s">
        <v>946</v>
      </c>
      <c r="L45" s="376" t="s">
        <v>1051</v>
      </c>
      <c r="M45" s="376" t="s">
        <v>1052</v>
      </c>
      <c r="N45" s="376" t="s">
        <v>1053</v>
      </c>
      <c r="O45" s="376" t="s">
        <v>1054</v>
      </c>
      <c r="P45" s="376" t="s">
        <v>1055</v>
      </c>
      <c r="Q45" s="376" t="s">
        <v>1056</v>
      </c>
      <c r="R45" s="376" t="s">
        <v>1057</v>
      </c>
      <c r="S45" s="376" t="s">
        <v>1058</v>
      </c>
      <c r="T45" s="376" t="s">
        <v>1059</v>
      </c>
      <c r="U45" s="376" t="s">
        <v>1060</v>
      </c>
      <c r="V45" s="376" t="s">
        <v>1061</v>
      </c>
      <c r="W45" s="376" t="s">
        <v>947</v>
      </c>
      <c r="X45" s="376" t="s">
        <v>948</v>
      </c>
      <c r="Y45" s="376" t="s">
        <v>949</v>
      </c>
      <c r="Z45" s="376" t="s">
        <v>950</v>
      </c>
      <c r="AA45" s="376" t="s">
        <v>951</v>
      </c>
      <c r="AB45" s="376" t="s">
        <v>952</v>
      </c>
      <c r="AC45" s="376" t="s">
        <v>953</v>
      </c>
      <c r="AD45" s="376" t="s">
        <v>954</v>
      </c>
      <c r="AE45" s="376" t="s">
        <v>955</v>
      </c>
      <c r="AF45" s="377" t="s">
        <v>956</v>
      </c>
      <c r="AG45" s="378"/>
      <c r="AH45" s="194" t="s">
        <v>938</v>
      </c>
      <c r="AI45" s="194" t="s">
        <v>272</v>
      </c>
      <c r="AJ45" s="194" t="s">
        <v>273</v>
      </c>
      <c r="AK45" s="194" t="s">
        <v>274</v>
      </c>
      <c r="AL45" s="194" t="s">
        <v>1049</v>
      </c>
      <c r="AM45" s="194" t="s">
        <v>961</v>
      </c>
      <c r="AN45" s="374" t="s">
        <v>962</v>
      </c>
      <c r="AO45" s="376" t="s">
        <v>963</v>
      </c>
      <c r="AP45" s="376" t="s">
        <v>964</v>
      </c>
      <c r="AQ45" s="376" t="s">
        <v>965</v>
      </c>
      <c r="AR45" s="376" t="s">
        <v>966</v>
      </c>
      <c r="AS45" s="376" t="s">
        <v>967</v>
      </c>
      <c r="AT45" s="376" t="s">
        <v>968</v>
      </c>
      <c r="AU45" s="376" t="s">
        <v>969</v>
      </c>
      <c r="AV45" s="376" t="s">
        <v>970</v>
      </c>
      <c r="AW45" s="376" t="s">
        <v>971</v>
      </c>
      <c r="AX45" s="376" t="s">
        <v>972</v>
      </c>
      <c r="AY45" s="377" t="s">
        <v>973</v>
      </c>
      <c r="AZ45" s="311" t="s">
        <v>974</v>
      </c>
      <c r="BA45" s="311" t="s">
        <v>975</v>
      </c>
      <c r="BB45" s="311" t="s">
        <v>976</v>
      </c>
    </row>
    <row r="46" spans="2:54" ht="22.5" x14ac:dyDescent="0.25">
      <c r="B46" s="312">
        <v>37214103</v>
      </c>
      <c r="C46" s="328" t="s">
        <v>610</v>
      </c>
      <c r="D46" s="121">
        <v>6</v>
      </c>
      <c r="E46" s="342" t="s">
        <v>1029</v>
      </c>
      <c r="F46" s="343"/>
      <c r="G46" s="344"/>
      <c r="H46" s="344"/>
      <c r="I46" s="344" t="s">
        <v>28</v>
      </c>
      <c r="J46" s="344"/>
      <c r="K46" s="344"/>
      <c r="L46" s="344" t="s">
        <v>28</v>
      </c>
      <c r="M46" s="344" t="s">
        <v>28</v>
      </c>
      <c r="N46" s="344"/>
      <c r="O46" s="344"/>
      <c r="P46" s="344"/>
      <c r="Q46" s="344" t="s">
        <v>28</v>
      </c>
      <c r="R46" s="344"/>
      <c r="S46" s="344"/>
      <c r="T46" s="344" t="s">
        <v>28</v>
      </c>
      <c r="U46" s="344"/>
      <c r="V46" s="345"/>
      <c r="W46" s="343"/>
      <c r="X46" s="344"/>
      <c r="Y46" s="344"/>
      <c r="Z46" s="344"/>
      <c r="AA46" s="344" t="s">
        <v>28</v>
      </c>
      <c r="AB46" s="344"/>
      <c r="AC46" s="344"/>
      <c r="AD46" s="344" t="s">
        <v>28</v>
      </c>
      <c r="AE46" s="344"/>
      <c r="AF46" s="345" t="s">
        <v>28</v>
      </c>
      <c r="AG46" s="339"/>
      <c r="AH46" s="312">
        <v>37214103</v>
      </c>
      <c r="AI46" s="328" t="s">
        <v>610</v>
      </c>
      <c r="AJ46" s="133" t="s">
        <v>1029</v>
      </c>
      <c r="AK46" s="133" t="s">
        <v>309</v>
      </c>
      <c r="AL46" s="134">
        <v>6</v>
      </c>
      <c r="AM46" s="122" t="s">
        <v>1017</v>
      </c>
      <c r="AN46" s="317">
        <v>21</v>
      </c>
      <c r="AO46" s="346"/>
      <c r="AP46" s="347"/>
      <c r="AQ46" s="347"/>
      <c r="AR46" s="347">
        <v>65</v>
      </c>
      <c r="AS46" s="347"/>
      <c r="AT46" s="347"/>
      <c r="AU46" s="347"/>
      <c r="AV46" s="347"/>
      <c r="AW46" s="347">
        <v>33</v>
      </c>
      <c r="AX46" s="347">
        <v>20</v>
      </c>
      <c r="AY46" s="348">
        <v>32</v>
      </c>
      <c r="AZ46" s="346">
        <v>65</v>
      </c>
      <c r="BA46" s="348">
        <v>85</v>
      </c>
      <c r="BB46" s="349">
        <f>SUM(AO46:AY46)</f>
        <v>150</v>
      </c>
    </row>
    <row r="47" spans="2:54" ht="22.5" x14ac:dyDescent="0.25">
      <c r="B47" s="318">
        <v>37214108</v>
      </c>
      <c r="C47" s="328" t="s">
        <v>324</v>
      </c>
      <c r="D47" s="134">
        <v>12</v>
      </c>
      <c r="E47" s="342" t="s">
        <v>1029</v>
      </c>
      <c r="F47" s="354"/>
      <c r="G47" s="355"/>
      <c r="H47" s="355"/>
      <c r="I47" s="355"/>
      <c r="J47" s="355"/>
      <c r="K47" s="355"/>
      <c r="L47" s="355"/>
      <c r="M47" s="355"/>
      <c r="N47" s="355"/>
      <c r="O47" s="355"/>
      <c r="P47" s="355"/>
      <c r="Q47" s="355"/>
      <c r="R47" s="355"/>
      <c r="S47" s="355"/>
      <c r="T47" s="355"/>
      <c r="U47" s="355"/>
      <c r="V47" s="356"/>
      <c r="W47" s="354"/>
      <c r="X47" s="355"/>
      <c r="Y47" s="355"/>
      <c r="Z47" s="355"/>
      <c r="AA47" s="355"/>
      <c r="AB47" s="355"/>
      <c r="AC47" s="355"/>
      <c r="AD47" s="355"/>
      <c r="AE47" s="355"/>
      <c r="AF47" s="356"/>
      <c r="AG47" s="339"/>
      <c r="AH47" s="318">
        <v>37214108</v>
      </c>
      <c r="AI47" s="328" t="s">
        <v>324</v>
      </c>
      <c r="AJ47" s="133" t="s">
        <v>1029</v>
      </c>
      <c r="AK47" s="133" t="s">
        <v>309</v>
      </c>
      <c r="AL47" s="134">
        <v>12</v>
      </c>
      <c r="AM47" s="135" t="s">
        <v>1017</v>
      </c>
      <c r="AN47" s="321"/>
      <c r="AO47" s="357"/>
      <c r="AP47" s="358"/>
      <c r="AQ47" s="358"/>
      <c r="AR47" s="358"/>
      <c r="AS47" s="358"/>
      <c r="AT47" s="358"/>
      <c r="AU47" s="358"/>
      <c r="AV47" s="358"/>
      <c r="AW47" s="358"/>
      <c r="AX47" s="358"/>
      <c r="AY47" s="359"/>
      <c r="AZ47" s="357"/>
      <c r="BA47" s="359"/>
      <c r="BB47" s="359"/>
    </row>
    <row r="48" spans="2:54" x14ac:dyDescent="0.25">
      <c r="B48" s="318"/>
      <c r="C48" s="331" t="s">
        <v>1075</v>
      </c>
      <c r="D48" s="134"/>
      <c r="E48" s="342" t="s">
        <v>1029</v>
      </c>
      <c r="F48" s="350"/>
      <c r="G48" s="342"/>
      <c r="H48" s="342"/>
      <c r="I48" s="342"/>
      <c r="J48" s="342"/>
      <c r="K48" s="342"/>
      <c r="L48" s="342"/>
      <c r="M48" s="342" t="s">
        <v>28</v>
      </c>
      <c r="N48" s="342"/>
      <c r="O48" s="342"/>
      <c r="P48" s="342"/>
      <c r="Q48" s="342" t="s">
        <v>28</v>
      </c>
      <c r="R48" s="342"/>
      <c r="S48" s="342" t="s">
        <v>28</v>
      </c>
      <c r="T48" s="342" t="s">
        <v>28</v>
      </c>
      <c r="U48" s="342"/>
      <c r="V48" s="351"/>
      <c r="W48" s="350"/>
      <c r="X48" s="342"/>
      <c r="Y48" s="342"/>
      <c r="Z48" s="342"/>
      <c r="AA48" s="342" t="s">
        <v>28</v>
      </c>
      <c r="AB48" s="342"/>
      <c r="AC48" s="342"/>
      <c r="AD48" s="342" t="s">
        <v>28</v>
      </c>
      <c r="AE48" s="342"/>
      <c r="AF48" s="351" t="s">
        <v>28</v>
      </c>
      <c r="AG48" s="339"/>
      <c r="AH48" s="318"/>
      <c r="AI48" s="331" t="s">
        <v>1075</v>
      </c>
      <c r="AJ48" s="133" t="s">
        <v>1029</v>
      </c>
      <c r="AK48" s="133"/>
      <c r="AL48" s="134"/>
      <c r="AM48" s="135" t="s">
        <v>1017</v>
      </c>
      <c r="AN48" s="321">
        <v>21</v>
      </c>
      <c r="AO48" s="352"/>
      <c r="AP48" s="349"/>
      <c r="AQ48" s="349"/>
      <c r="AR48" s="349">
        <v>56</v>
      </c>
      <c r="AS48" s="349"/>
      <c r="AT48" s="349">
        <v>29</v>
      </c>
      <c r="AU48" s="349">
        <v>6</v>
      </c>
      <c r="AV48" s="349"/>
      <c r="AW48" s="349"/>
      <c r="AX48" s="349">
        <v>10</v>
      </c>
      <c r="AY48" s="353">
        <v>49</v>
      </c>
      <c r="AZ48" s="352">
        <v>64</v>
      </c>
      <c r="BA48" s="353">
        <v>86</v>
      </c>
      <c r="BB48" s="349">
        <f t="shared" ref="BB48:BB56" si="1">SUM(AO48:AY48)</f>
        <v>150</v>
      </c>
    </row>
    <row r="49" spans="2:54" x14ac:dyDescent="0.25">
      <c r="B49" s="318"/>
      <c r="C49" s="331" t="s">
        <v>1076</v>
      </c>
      <c r="D49" s="134"/>
      <c r="E49" s="342" t="s">
        <v>1029</v>
      </c>
      <c r="F49" s="350"/>
      <c r="G49" s="342"/>
      <c r="H49" s="342"/>
      <c r="I49" s="342"/>
      <c r="J49" s="342"/>
      <c r="K49" s="342"/>
      <c r="L49" s="342" t="s">
        <v>28</v>
      </c>
      <c r="M49" s="342"/>
      <c r="N49" s="342"/>
      <c r="O49" s="342"/>
      <c r="P49" s="342"/>
      <c r="Q49" s="342"/>
      <c r="R49" s="342"/>
      <c r="S49" s="342"/>
      <c r="T49" s="342" t="s">
        <v>28</v>
      </c>
      <c r="U49" s="342" t="s">
        <v>28</v>
      </c>
      <c r="V49" s="351" t="s">
        <v>28</v>
      </c>
      <c r="W49" s="350"/>
      <c r="X49" s="342"/>
      <c r="Y49" s="342"/>
      <c r="Z49" s="342"/>
      <c r="AA49" s="342"/>
      <c r="AB49" s="342" t="s">
        <v>28</v>
      </c>
      <c r="AC49" s="342"/>
      <c r="AD49" s="342" t="s">
        <v>28</v>
      </c>
      <c r="AE49" s="342"/>
      <c r="AF49" s="351" t="s">
        <v>28</v>
      </c>
      <c r="AG49" s="339"/>
      <c r="AH49" s="318"/>
      <c r="AI49" s="331" t="s">
        <v>1076</v>
      </c>
      <c r="AJ49" s="133" t="s">
        <v>1029</v>
      </c>
      <c r="AK49" s="133"/>
      <c r="AL49" s="134"/>
      <c r="AM49" s="135" t="s">
        <v>1017</v>
      </c>
      <c r="AN49" s="321">
        <v>21</v>
      </c>
      <c r="AO49" s="352"/>
      <c r="AP49" s="349"/>
      <c r="AQ49" s="349"/>
      <c r="AR49" s="349">
        <v>36</v>
      </c>
      <c r="AS49" s="349">
        <v>48</v>
      </c>
      <c r="AT49" s="349"/>
      <c r="AU49" s="349"/>
      <c r="AV49" s="349"/>
      <c r="AW49" s="349"/>
      <c r="AX49" s="349"/>
      <c r="AY49" s="353">
        <v>66</v>
      </c>
      <c r="AZ49" s="352">
        <v>60</v>
      </c>
      <c r="BA49" s="353">
        <v>90</v>
      </c>
      <c r="BB49" s="349">
        <f t="shared" si="1"/>
        <v>150</v>
      </c>
    </row>
    <row r="50" spans="2:54" ht="22.5" x14ac:dyDescent="0.25">
      <c r="B50" s="318">
        <v>37214111</v>
      </c>
      <c r="C50" s="328" t="s">
        <v>611</v>
      </c>
      <c r="D50" s="134">
        <v>6</v>
      </c>
      <c r="E50" s="342" t="s">
        <v>1029</v>
      </c>
      <c r="F50" s="350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 t="s">
        <v>28</v>
      </c>
      <c r="R50" s="342"/>
      <c r="S50" s="342"/>
      <c r="T50" s="342" t="s">
        <v>28</v>
      </c>
      <c r="U50" s="342"/>
      <c r="V50" s="351" t="s">
        <v>28</v>
      </c>
      <c r="W50" s="350"/>
      <c r="X50" s="342"/>
      <c r="Y50" s="342"/>
      <c r="Z50" s="342"/>
      <c r="AA50" s="342"/>
      <c r="AB50" s="342" t="s">
        <v>28</v>
      </c>
      <c r="AC50" s="342"/>
      <c r="AD50" s="342" t="s">
        <v>28</v>
      </c>
      <c r="AE50" s="342"/>
      <c r="AF50" s="351" t="s">
        <v>28</v>
      </c>
      <c r="AG50" s="339"/>
      <c r="AH50" s="318">
        <v>37214111</v>
      </c>
      <c r="AI50" s="328" t="s">
        <v>611</v>
      </c>
      <c r="AJ50" s="133" t="s">
        <v>1029</v>
      </c>
      <c r="AK50" s="133" t="s">
        <v>309</v>
      </c>
      <c r="AL50" s="134">
        <v>6</v>
      </c>
      <c r="AM50" s="135" t="s">
        <v>1017</v>
      </c>
      <c r="AN50" s="321">
        <v>21</v>
      </c>
      <c r="AO50" s="352"/>
      <c r="AP50" s="349"/>
      <c r="AQ50" s="349"/>
      <c r="AR50" s="349">
        <v>39</v>
      </c>
      <c r="AS50" s="349"/>
      <c r="AT50" s="349"/>
      <c r="AU50" s="349">
        <v>33</v>
      </c>
      <c r="AV50" s="349"/>
      <c r="AW50" s="349"/>
      <c r="AX50" s="349">
        <v>32</v>
      </c>
      <c r="AY50" s="353">
        <v>46</v>
      </c>
      <c r="AZ50" s="352">
        <v>60</v>
      </c>
      <c r="BA50" s="353">
        <v>90</v>
      </c>
      <c r="BB50" s="349">
        <f t="shared" si="1"/>
        <v>150</v>
      </c>
    </row>
    <row r="51" spans="2:54" ht="33" x14ac:dyDescent="0.25">
      <c r="B51" s="318">
        <v>37214112</v>
      </c>
      <c r="C51" s="328" t="s">
        <v>612</v>
      </c>
      <c r="D51" s="134">
        <v>6</v>
      </c>
      <c r="E51" s="342" t="s">
        <v>1029</v>
      </c>
      <c r="F51" s="350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 t="s">
        <v>28</v>
      </c>
      <c r="R51" s="342"/>
      <c r="S51" s="342"/>
      <c r="T51" s="342" t="s">
        <v>28</v>
      </c>
      <c r="U51" s="342"/>
      <c r="V51" s="351" t="s">
        <v>28</v>
      </c>
      <c r="W51" s="350"/>
      <c r="X51" s="342"/>
      <c r="Y51" s="342"/>
      <c r="Z51" s="342"/>
      <c r="AA51" s="342"/>
      <c r="AB51" s="342" t="s">
        <v>28</v>
      </c>
      <c r="AC51" s="342" t="s">
        <v>28</v>
      </c>
      <c r="AD51" s="342"/>
      <c r="AE51" s="342"/>
      <c r="AF51" s="351" t="s">
        <v>28</v>
      </c>
      <c r="AG51" s="339"/>
      <c r="AH51" s="318">
        <v>37214112</v>
      </c>
      <c r="AI51" s="328" t="s">
        <v>612</v>
      </c>
      <c r="AJ51" s="133" t="s">
        <v>1029</v>
      </c>
      <c r="AK51" s="133" t="s">
        <v>309</v>
      </c>
      <c r="AL51" s="134">
        <v>6</v>
      </c>
      <c r="AM51" s="135" t="s">
        <v>1017</v>
      </c>
      <c r="AN51" s="321">
        <v>27</v>
      </c>
      <c r="AO51" s="352">
        <v>10</v>
      </c>
      <c r="AP51" s="349"/>
      <c r="AQ51" s="349"/>
      <c r="AR51" s="349">
        <v>35</v>
      </c>
      <c r="AS51" s="349">
        <v>27</v>
      </c>
      <c r="AT51" s="349"/>
      <c r="AU51" s="349">
        <v>33</v>
      </c>
      <c r="AV51" s="349"/>
      <c r="AW51" s="349"/>
      <c r="AX51" s="349"/>
      <c r="AY51" s="353">
        <v>45</v>
      </c>
      <c r="AZ51" s="352">
        <v>60</v>
      </c>
      <c r="BA51" s="353">
        <v>90</v>
      </c>
      <c r="BB51" s="349">
        <f t="shared" si="1"/>
        <v>150</v>
      </c>
    </row>
    <row r="52" spans="2:54" x14ac:dyDescent="0.25">
      <c r="B52" s="318">
        <v>37214114</v>
      </c>
      <c r="C52" s="328" t="s">
        <v>333</v>
      </c>
      <c r="D52" s="134">
        <v>6</v>
      </c>
      <c r="E52" s="342" t="s">
        <v>1029</v>
      </c>
      <c r="F52" s="350" t="s">
        <v>28</v>
      </c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 t="s">
        <v>28</v>
      </c>
      <c r="R52" s="342"/>
      <c r="S52" s="342"/>
      <c r="T52" s="342" t="s">
        <v>28</v>
      </c>
      <c r="U52" s="342" t="s">
        <v>28</v>
      </c>
      <c r="V52" s="351" t="s">
        <v>28</v>
      </c>
      <c r="W52" s="350"/>
      <c r="X52" s="342"/>
      <c r="Y52" s="342"/>
      <c r="Z52" s="342"/>
      <c r="AA52" s="342" t="s">
        <v>28</v>
      </c>
      <c r="AB52" s="342"/>
      <c r="AC52" s="342"/>
      <c r="AD52" s="342"/>
      <c r="AE52" s="342"/>
      <c r="AF52" s="351"/>
      <c r="AG52" s="339"/>
      <c r="AH52" s="318">
        <v>37214114</v>
      </c>
      <c r="AI52" s="328" t="s">
        <v>333</v>
      </c>
      <c r="AJ52" s="133" t="s">
        <v>1029</v>
      </c>
      <c r="AK52" s="133" t="s">
        <v>309</v>
      </c>
      <c r="AL52" s="134">
        <v>6</v>
      </c>
      <c r="AM52" s="135" t="s">
        <v>1017</v>
      </c>
      <c r="AN52" s="321">
        <v>19</v>
      </c>
      <c r="AO52" s="352">
        <v>39</v>
      </c>
      <c r="AP52" s="349"/>
      <c r="AQ52" s="349"/>
      <c r="AR52" s="349"/>
      <c r="AS52" s="349"/>
      <c r="AT52" s="349">
        <v>10</v>
      </c>
      <c r="AU52" s="349">
        <v>9</v>
      </c>
      <c r="AV52" s="349"/>
      <c r="AW52" s="349">
        <v>30</v>
      </c>
      <c r="AX52" s="349">
        <v>62</v>
      </c>
      <c r="AY52" s="353"/>
      <c r="AZ52" s="352">
        <v>60</v>
      </c>
      <c r="BA52" s="353">
        <v>90</v>
      </c>
      <c r="BB52" s="349">
        <f t="shared" si="1"/>
        <v>150</v>
      </c>
    </row>
    <row r="53" spans="2:54" ht="33" x14ac:dyDescent="0.25">
      <c r="B53" s="318">
        <v>37214113</v>
      </c>
      <c r="C53" s="328" t="s">
        <v>613</v>
      </c>
      <c r="D53" s="134">
        <v>6</v>
      </c>
      <c r="E53" s="342" t="s">
        <v>1029</v>
      </c>
      <c r="F53" s="350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 t="s">
        <v>28</v>
      </c>
      <c r="R53" s="342"/>
      <c r="S53" s="342"/>
      <c r="T53" s="342" t="s">
        <v>28</v>
      </c>
      <c r="U53" s="342"/>
      <c r="V53" s="351" t="s">
        <v>28</v>
      </c>
      <c r="W53" s="350"/>
      <c r="X53" s="342"/>
      <c r="Y53" s="342"/>
      <c r="Z53" s="342"/>
      <c r="AA53" s="342"/>
      <c r="AB53" s="342" t="s">
        <v>28</v>
      </c>
      <c r="AC53" s="342"/>
      <c r="AD53" s="342"/>
      <c r="AE53" s="342"/>
      <c r="AF53" s="351" t="s">
        <v>28</v>
      </c>
      <c r="AG53" s="339"/>
      <c r="AH53" s="318">
        <v>37214113</v>
      </c>
      <c r="AI53" s="328" t="s">
        <v>613</v>
      </c>
      <c r="AJ53" s="133" t="s">
        <v>1029</v>
      </c>
      <c r="AK53" s="133" t="s">
        <v>309</v>
      </c>
      <c r="AL53" s="134">
        <v>6</v>
      </c>
      <c r="AM53" s="135" t="s">
        <v>992</v>
      </c>
      <c r="AN53" s="321">
        <v>23</v>
      </c>
      <c r="AO53" s="352"/>
      <c r="AP53" s="349"/>
      <c r="AQ53" s="349"/>
      <c r="AR53" s="349">
        <v>35</v>
      </c>
      <c r="AS53" s="349">
        <v>27</v>
      </c>
      <c r="AT53" s="349"/>
      <c r="AU53" s="349">
        <v>33</v>
      </c>
      <c r="AV53" s="349"/>
      <c r="AW53" s="349"/>
      <c r="AX53" s="349"/>
      <c r="AY53" s="353">
        <v>55</v>
      </c>
      <c r="AZ53" s="352">
        <v>60</v>
      </c>
      <c r="BA53" s="353">
        <v>90</v>
      </c>
      <c r="BB53" s="349">
        <f t="shared" si="1"/>
        <v>150</v>
      </c>
    </row>
    <row r="54" spans="2:54" ht="33" x14ac:dyDescent="0.25">
      <c r="B54" s="318">
        <v>37214117</v>
      </c>
      <c r="C54" s="328" t="s">
        <v>341</v>
      </c>
      <c r="D54" s="134">
        <v>6</v>
      </c>
      <c r="E54" s="342" t="s">
        <v>1029</v>
      </c>
      <c r="F54" s="350"/>
      <c r="G54" s="342"/>
      <c r="H54" s="342"/>
      <c r="I54" s="342"/>
      <c r="J54" s="342"/>
      <c r="K54" s="342"/>
      <c r="L54" s="342"/>
      <c r="M54" s="342"/>
      <c r="N54" s="342" t="s">
        <v>28</v>
      </c>
      <c r="O54" s="342"/>
      <c r="P54" s="342"/>
      <c r="Q54" s="342"/>
      <c r="R54" s="342"/>
      <c r="S54" s="342" t="s">
        <v>28</v>
      </c>
      <c r="T54" s="342" t="s">
        <v>28</v>
      </c>
      <c r="U54" s="342"/>
      <c r="V54" s="351"/>
      <c r="W54" s="350"/>
      <c r="X54" s="342"/>
      <c r="Y54" s="342"/>
      <c r="Z54" s="342"/>
      <c r="AA54" s="342" t="s">
        <v>28</v>
      </c>
      <c r="AB54" s="342"/>
      <c r="AC54" s="342"/>
      <c r="AD54" s="342"/>
      <c r="AE54" s="342"/>
      <c r="AF54" s="351" t="s">
        <v>28</v>
      </c>
      <c r="AG54" s="339"/>
      <c r="AH54" s="318">
        <v>37214117</v>
      </c>
      <c r="AI54" s="328" t="s">
        <v>341</v>
      </c>
      <c r="AJ54" s="133" t="s">
        <v>1029</v>
      </c>
      <c r="AK54" s="133" t="s">
        <v>309</v>
      </c>
      <c r="AL54" s="134">
        <v>6</v>
      </c>
      <c r="AM54" s="135" t="s">
        <v>992</v>
      </c>
      <c r="AN54" s="321">
        <v>18</v>
      </c>
      <c r="AO54" s="352"/>
      <c r="AP54" s="349"/>
      <c r="AQ54" s="349"/>
      <c r="AR54" s="349"/>
      <c r="AS54" s="349">
        <v>23</v>
      </c>
      <c r="AT54" s="349"/>
      <c r="AU54" s="349">
        <v>23</v>
      </c>
      <c r="AV54" s="349"/>
      <c r="AW54" s="349"/>
      <c r="AX54" s="349">
        <v>52</v>
      </c>
      <c r="AY54" s="353">
        <v>52</v>
      </c>
      <c r="AZ54" s="352">
        <v>60</v>
      </c>
      <c r="BA54" s="353">
        <v>90</v>
      </c>
      <c r="BB54" s="349">
        <f t="shared" si="1"/>
        <v>150</v>
      </c>
    </row>
    <row r="55" spans="2:54" ht="22.5" x14ac:dyDescent="0.25">
      <c r="B55" s="318">
        <v>37214118</v>
      </c>
      <c r="C55" s="328" t="s">
        <v>343</v>
      </c>
      <c r="D55" s="134">
        <v>6</v>
      </c>
      <c r="E55" s="342" t="s">
        <v>1029</v>
      </c>
      <c r="F55" s="350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 t="s">
        <v>28</v>
      </c>
      <c r="R55" s="342"/>
      <c r="S55" s="342"/>
      <c r="T55" s="342" t="s">
        <v>28</v>
      </c>
      <c r="U55" s="342" t="s">
        <v>28</v>
      </c>
      <c r="V55" s="351"/>
      <c r="W55" s="350"/>
      <c r="X55" s="342"/>
      <c r="Y55" s="342"/>
      <c r="Z55" s="342"/>
      <c r="AA55" s="342" t="s">
        <v>28</v>
      </c>
      <c r="AB55" s="342"/>
      <c r="AC55" s="342"/>
      <c r="AD55" s="342"/>
      <c r="AE55" s="342"/>
      <c r="AF55" s="351" t="s">
        <v>28</v>
      </c>
      <c r="AG55" s="339"/>
      <c r="AH55" s="318">
        <v>37214118</v>
      </c>
      <c r="AI55" s="328" t="s">
        <v>343</v>
      </c>
      <c r="AJ55" s="133" t="s">
        <v>1029</v>
      </c>
      <c r="AK55" s="133" t="s">
        <v>309</v>
      </c>
      <c r="AL55" s="134">
        <v>6</v>
      </c>
      <c r="AM55" s="135" t="s">
        <v>1017</v>
      </c>
      <c r="AN55" s="321">
        <v>21</v>
      </c>
      <c r="AO55" s="352"/>
      <c r="AP55" s="349"/>
      <c r="AQ55" s="349">
        <v>23</v>
      </c>
      <c r="AR55" s="349"/>
      <c r="AS55" s="349"/>
      <c r="AT55" s="349"/>
      <c r="AU55" s="349"/>
      <c r="AV55" s="349"/>
      <c r="AW55" s="349">
        <v>40</v>
      </c>
      <c r="AX55" s="349"/>
      <c r="AY55" s="353">
        <v>87</v>
      </c>
      <c r="AZ55" s="352">
        <v>60</v>
      </c>
      <c r="BA55" s="353">
        <v>90</v>
      </c>
      <c r="BB55" s="349">
        <f t="shared" si="1"/>
        <v>150</v>
      </c>
    </row>
    <row r="56" spans="2:54" ht="54.75" thickBot="1" x14ac:dyDescent="0.3">
      <c r="B56" s="318">
        <v>37214121</v>
      </c>
      <c r="C56" s="328" t="s">
        <v>614</v>
      </c>
      <c r="D56" s="134">
        <v>6</v>
      </c>
      <c r="E56" s="342" t="s">
        <v>1029</v>
      </c>
      <c r="F56" s="350"/>
      <c r="G56" s="342"/>
      <c r="H56" s="342"/>
      <c r="I56" s="342"/>
      <c r="J56" s="342"/>
      <c r="K56" s="342"/>
      <c r="L56" s="342"/>
      <c r="M56" s="342"/>
      <c r="N56" s="342" t="s">
        <v>28</v>
      </c>
      <c r="O56" s="342"/>
      <c r="P56" s="342"/>
      <c r="Q56" s="342"/>
      <c r="R56" s="342"/>
      <c r="S56" s="342" t="s">
        <v>28</v>
      </c>
      <c r="T56" s="342"/>
      <c r="U56" s="342" t="s">
        <v>28</v>
      </c>
      <c r="V56" s="351" t="s">
        <v>28</v>
      </c>
      <c r="W56" s="350"/>
      <c r="X56" s="342"/>
      <c r="Y56" s="342"/>
      <c r="Z56" s="342"/>
      <c r="AA56" s="342" t="s">
        <v>28</v>
      </c>
      <c r="AB56" s="342"/>
      <c r="AC56" s="342"/>
      <c r="AD56" s="342" t="s">
        <v>28</v>
      </c>
      <c r="AE56" s="342"/>
      <c r="AF56" s="351" t="s">
        <v>28</v>
      </c>
      <c r="AG56" s="339"/>
      <c r="AH56" s="318">
        <v>37214121</v>
      </c>
      <c r="AI56" s="328" t="s">
        <v>614</v>
      </c>
      <c r="AJ56" s="133" t="s">
        <v>1029</v>
      </c>
      <c r="AK56" s="133" t="s">
        <v>309</v>
      </c>
      <c r="AL56" s="134">
        <v>6</v>
      </c>
      <c r="AM56" s="135" t="s">
        <v>992</v>
      </c>
      <c r="AN56" s="321">
        <v>17</v>
      </c>
      <c r="AO56" s="352">
        <v>10</v>
      </c>
      <c r="AP56" s="349"/>
      <c r="AQ56" s="349"/>
      <c r="AR56" s="349">
        <v>30</v>
      </c>
      <c r="AS56" s="349">
        <v>21</v>
      </c>
      <c r="AT56" s="349">
        <v>6</v>
      </c>
      <c r="AU56" s="349">
        <v>5</v>
      </c>
      <c r="AV56" s="349"/>
      <c r="AW56" s="349">
        <v>21</v>
      </c>
      <c r="AX56" s="349">
        <v>21</v>
      </c>
      <c r="AY56" s="353">
        <v>36</v>
      </c>
      <c r="AZ56" s="352">
        <v>60</v>
      </c>
      <c r="BA56" s="353">
        <v>90</v>
      </c>
      <c r="BB56" s="349">
        <f t="shared" si="1"/>
        <v>150</v>
      </c>
    </row>
    <row r="57" spans="2:54" ht="15.75" thickBot="1" x14ac:dyDescent="0.3"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9"/>
      <c r="Y57" s="339"/>
      <c r="Z57" s="339"/>
      <c r="AA57" s="339"/>
      <c r="AB57" s="339"/>
      <c r="AC57" s="339"/>
      <c r="AD57" s="339"/>
      <c r="AE57" s="339"/>
      <c r="AF57" s="339"/>
      <c r="AG57" s="339"/>
      <c r="AH57" s="339"/>
      <c r="AI57" s="339"/>
      <c r="AJ57" s="339"/>
      <c r="AK57" s="339"/>
      <c r="AL57" s="339"/>
      <c r="AM57" s="339"/>
      <c r="AN57" s="339"/>
      <c r="AO57" s="339"/>
      <c r="AP57" s="339"/>
      <c r="AQ57" s="339"/>
      <c r="AR57" s="339"/>
      <c r="AS57" s="339"/>
      <c r="AT57" s="339"/>
      <c r="AU57" s="339"/>
      <c r="AV57" s="339"/>
      <c r="AW57" s="339"/>
      <c r="AX57" s="339"/>
      <c r="AY57" s="339"/>
      <c r="AZ57" s="362">
        <f>SUM(AZ46:AZ56)</f>
        <v>609</v>
      </c>
      <c r="BA57" s="362">
        <f>SUM(BA46:BA56)</f>
        <v>891</v>
      </c>
      <c r="BB57" s="362">
        <f>SUM(BB46:BB56)</f>
        <v>1500</v>
      </c>
    </row>
    <row r="58" spans="2:54" ht="15.75" thickBot="1" x14ac:dyDescent="0.3">
      <c r="B58" s="339"/>
      <c r="C58" s="339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39"/>
      <c r="AK58" s="339"/>
      <c r="AL58" s="339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39"/>
      <c r="AZ58" s="363">
        <f>AZ57/BB57</f>
        <v>0.40600000000000003</v>
      </c>
      <c r="BA58" s="363">
        <f>BA57/BB57</f>
        <v>0.59399999999999997</v>
      </c>
      <c r="BB58" s="363">
        <f>BB57/BB57</f>
        <v>1</v>
      </c>
    </row>
    <row r="59" spans="2:54" x14ac:dyDescent="0.25"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39"/>
      <c r="AN59" s="339"/>
      <c r="AO59" s="339"/>
      <c r="AP59" s="339"/>
      <c r="AQ59" s="339"/>
      <c r="AR59" s="339"/>
      <c r="AS59" s="339"/>
      <c r="AT59" s="339"/>
      <c r="AU59" s="339"/>
      <c r="AV59" s="339"/>
      <c r="AW59" s="339"/>
      <c r="AX59" s="339"/>
      <c r="AY59" s="339"/>
      <c r="AZ59" s="339"/>
      <c r="BA59" s="339"/>
      <c r="BB59" s="339"/>
    </row>
    <row r="60" spans="2:54" ht="15.75" thickBot="1" x14ac:dyDescent="0.3">
      <c r="B60" s="339"/>
      <c r="C60" s="339"/>
      <c r="D60" s="339"/>
      <c r="E60" s="339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39"/>
      <c r="AK60" s="339"/>
      <c r="AL60" s="339"/>
      <c r="AM60" s="339"/>
      <c r="AN60" s="339"/>
      <c r="AO60" s="339"/>
      <c r="AP60" s="339"/>
      <c r="AQ60" s="339"/>
      <c r="AR60" s="339"/>
      <c r="AS60" s="339"/>
      <c r="AT60" s="339"/>
      <c r="AU60" s="339"/>
      <c r="AV60" s="339"/>
      <c r="AW60" s="339"/>
      <c r="AX60" s="339"/>
      <c r="AY60" s="339"/>
      <c r="AZ60" s="339"/>
      <c r="BA60" s="339"/>
      <c r="BB60" s="339"/>
    </row>
    <row r="61" spans="2:54" ht="15.75" thickBot="1" x14ac:dyDescent="0.3">
      <c r="B61" s="339"/>
      <c r="C61" s="339"/>
      <c r="D61" s="339"/>
      <c r="E61" s="339"/>
      <c r="F61" s="1002" t="s">
        <v>935</v>
      </c>
      <c r="G61" s="1003"/>
      <c r="H61" s="1003"/>
      <c r="I61" s="1003"/>
      <c r="J61" s="1003"/>
      <c r="K61" s="1003"/>
      <c r="L61" s="1003"/>
      <c r="M61" s="1003"/>
      <c r="N61" s="1003"/>
      <c r="O61" s="1003"/>
      <c r="P61" s="1003"/>
      <c r="Q61" s="1003"/>
      <c r="R61" s="1003"/>
      <c r="S61" s="1003"/>
      <c r="T61" s="1003"/>
      <c r="U61" s="1003"/>
      <c r="V61" s="1004"/>
      <c r="W61" s="1002" t="s">
        <v>936</v>
      </c>
      <c r="X61" s="1003"/>
      <c r="Y61" s="1003"/>
      <c r="Z61" s="1003"/>
      <c r="AA61" s="1003"/>
      <c r="AB61" s="1003"/>
      <c r="AC61" s="1003"/>
      <c r="AD61" s="1003"/>
      <c r="AE61" s="1003"/>
      <c r="AF61" s="1004"/>
      <c r="AG61" s="339"/>
      <c r="AH61" s="339"/>
      <c r="AI61" s="339"/>
      <c r="AJ61" s="339"/>
      <c r="AK61" s="339"/>
      <c r="AL61" s="339"/>
      <c r="AM61" s="339"/>
      <c r="AN61" s="339"/>
      <c r="AO61" s="1005" t="s">
        <v>1050</v>
      </c>
      <c r="AP61" s="1006"/>
      <c r="AQ61" s="1006"/>
      <c r="AR61" s="1006"/>
      <c r="AS61" s="1006"/>
      <c r="AT61" s="1006"/>
      <c r="AU61" s="1006"/>
      <c r="AV61" s="1006"/>
      <c r="AW61" s="1006"/>
      <c r="AX61" s="1006"/>
      <c r="AY61" s="1006"/>
      <c r="AZ61" s="1006"/>
      <c r="BA61" s="1006"/>
      <c r="BB61" s="1007"/>
    </row>
    <row r="62" spans="2:54" ht="54.75" thickBot="1" x14ac:dyDescent="0.3">
      <c r="B62" s="195" t="s">
        <v>938</v>
      </c>
      <c r="C62" s="195" t="s">
        <v>272</v>
      </c>
      <c r="D62" s="195" t="s">
        <v>1049</v>
      </c>
      <c r="E62" s="195" t="s">
        <v>273</v>
      </c>
      <c r="F62" s="340" t="s">
        <v>941</v>
      </c>
      <c r="G62" s="340" t="s">
        <v>942</v>
      </c>
      <c r="H62" s="340" t="s">
        <v>943</v>
      </c>
      <c r="I62" s="340" t="s">
        <v>944</v>
      </c>
      <c r="J62" s="340" t="s">
        <v>945</v>
      </c>
      <c r="K62" s="340" t="s">
        <v>946</v>
      </c>
      <c r="L62" s="340" t="s">
        <v>1051</v>
      </c>
      <c r="M62" s="340" t="s">
        <v>1052</v>
      </c>
      <c r="N62" s="340" t="s">
        <v>1053</v>
      </c>
      <c r="O62" s="340" t="s">
        <v>1054</v>
      </c>
      <c r="P62" s="340" t="s">
        <v>1055</v>
      </c>
      <c r="Q62" s="340" t="s">
        <v>1056</v>
      </c>
      <c r="R62" s="340" t="s">
        <v>1057</v>
      </c>
      <c r="S62" s="340" t="s">
        <v>1058</v>
      </c>
      <c r="T62" s="340" t="s">
        <v>1059</v>
      </c>
      <c r="U62" s="340" t="s">
        <v>1060</v>
      </c>
      <c r="V62" s="340" t="s">
        <v>1061</v>
      </c>
      <c r="W62" s="340" t="s">
        <v>947</v>
      </c>
      <c r="X62" s="340" t="s">
        <v>948</v>
      </c>
      <c r="Y62" s="340" t="s">
        <v>949</v>
      </c>
      <c r="Z62" s="340" t="s">
        <v>950</v>
      </c>
      <c r="AA62" s="340" t="s">
        <v>951</v>
      </c>
      <c r="AB62" s="340" t="s">
        <v>952</v>
      </c>
      <c r="AC62" s="340" t="s">
        <v>953</v>
      </c>
      <c r="AD62" s="340" t="s">
        <v>954</v>
      </c>
      <c r="AE62" s="340" t="s">
        <v>955</v>
      </c>
      <c r="AF62" s="341" t="s">
        <v>956</v>
      </c>
      <c r="AG62" s="339"/>
      <c r="AH62" s="333" t="s">
        <v>938</v>
      </c>
      <c r="AI62" s="333" t="s">
        <v>272</v>
      </c>
      <c r="AJ62" s="333" t="s">
        <v>940</v>
      </c>
      <c r="AK62" s="333" t="s">
        <v>274</v>
      </c>
      <c r="AL62" s="333" t="s">
        <v>939</v>
      </c>
      <c r="AM62" s="333" t="s">
        <v>961</v>
      </c>
      <c r="AN62" s="333" t="s">
        <v>962</v>
      </c>
      <c r="AO62" s="366" t="s">
        <v>963</v>
      </c>
      <c r="AP62" s="366" t="s">
        <v>964</v>
      </c>
      <c r="AQ62" s="366" t="s">
        <v>965</v>
      </c>
      <c r="AR62" s="366" t="s">
        <v>966</v>
      </c>
      <c r="AS62" s="366" t="s">
        <v>967</v>
      </c>
      <c r="AT62" s="366" t="s">
        <v>968</v>
      </c>
      <c r="AU62" s="366" t="s">
        <v>969</v>
      </c>
      <c r="AV62" s="366" t="s">
        <v>970</v>
      </c>
      <c r="AW62" s="366" t="s">
        <v>971</v>
      </c>
      <c r="AX62" s="366" t="s">
        <v>972</v>
      </c>
      <c r="AY62" s="366" t="s">
        <v>973</v>
      </c>
      <c r="AZ62" s="334" t="s">
        <v>974</v>
      </c>
      <c r="BA62" s="334" t="s">
        <v>975</v>
      </c>
      <c r="BB62" s="334" t="s">
        <v>976</v>
      </c>
    </row>
    <row r="63" spans="2:54" ht="22.5" x14ac:dyDescent="0.25">
      <c r="B63" s="312">
        <v>37214111</v>
      </c>
      <c r="C63" s="328" t="s">
        <v>1077</v>
      </c>
      <c r="D63" s="121">
        <v>6</v>
      </c>
      <c r="E63" s="342" t="s">
        <v>1035</v>
      </c>
      <c r="F63" s="343"/>
      <c r="G63" s="344"/>
      <c r="H63" s="344"/>
      <c r="I63" s="344"/>
      <c r="J63" s="344" t="s">
        <v>28</v>
      </c>
      <c r="K63" s="344"/>
      <c r="L63" s="344"/>
      <c r="M63" s="344"/>
      <c r="N63" s="344"/>
      <c r="O63" s="344"/>
      <c r="P63" s="344"/>
      <c r="Q63" s="344"/>
      <c r="R63" s="344"/>
      <c r="S63" s="344" t="s">
        <v>28</v>
      </c>
      <c r="T63" s="344" t="s">
        <v>28</v>
      </c>
      <c r="U63" s="344"/>
      <c r="V63" s="345" t="s">
        <v>28</v>
      </c>
      <c r="W63" s="343"/>
      <c r="X63" s="344"/>
      <c r="Y63" s="344"/>
      <c r="Z63" s="344"/>
      <c r="AA63" s="344"/>
      <c r="AB63" s="344"/>
      <c r="AC63" s="344" t="s">
        <v>28</v>
      </c>
      <c r="AD63" s="344" t="s">
        <v>28</v>
      </c>
      <c r="AE63" s="344"/>
      <c r="AF63" s="345" t="s">
        <v>28</v>
      </c>
      <c r="AG63" s="339"/>
      <c r="AH63" s="331">
        <v>37214111</v>
      </c>
      <c r="AI63" s="328" t="s">
        <v>1077</v>
      </c>
      <c r="AJ63" s="342" t="s">
        <v>1035</v>
      </c>
      <c r="AK63" s="133" t="s">
        <v>309</v>
      </c>
      <c r="AL63" s="134">
        <v>6</v>
      </c>
      <c r="AM63" s="134" t="s">
        <v>1017</v>
      </c>
      <c r="AN63" s="134">
        <v>27</v>
      </c>
      <c r="AO63" s="349">
        <v>10</v>
      </c>
      <c r="AP63" s="349"/>
      <c r="AQ63" s="349"/>
      <c r="AR63" s="349">
        <v>10</v>
      </c>
      <c r="AS63" s="349">
        <v>20</v>
      </c>
      <c r="AT63" s="349">
        <v>12</v>
      </c>
      <c r="AU63" s="349">
        <v>12</v>
      </c>
      <c r="AV63" s="349"/>
      <c r="AW63" s="349"/>
      <c r="AX63" s="349">
        <v>30</v>
      </c>
      <c r="AY63" s="349">
        <v>56</v>
      </c>
      <c r="AZ63" s="349">
        <v>64</v>
      </c>
      <c r="BA63" s="349">
        <v>86</v>
      </c>
      <c r="BB63" s="349">
        <f t="shared" ref="BB63:BB69" si="2">SUM(AO63:AY63)</f>
        <v>150</v>
      </c>
    </row>
    <row r="64" spans="2:54" ht="22.5" x14ac:dyDescent="0.25">
      <c r="B64" s="318">
        <v>37214115</v>
      </c>
      <c r="C64" s="328" t="s">
        <v>337</v>
      </c>
      <c r="D64" s="134">
        <v>6</v>
      </c>
      <c r="E64" s="342" t="s">
        <v>1035</v>
      </c>
      <c r="F64" s="350"/>
      <c r="G64" s="342" t="s">
        <v>28</v>
      </c>
      <c r="H64" s="342"/>
      <c r="I64" s="342"/>
      <c r="J64" s="342"/>
      <c r="K64" s="342"/>
      <c r="L64" s="342"/>
      <c r="M64" s="342"/>
      <c r="N64" s="342" t="s">
        <v>28</v>
      </c>
      <c r="O64" s="342"/>
      <c r="P64" s="342"/>
      <c r="Q64" s="342" t="s">
        <v>28</v>
      </c>
      <c r="R64" s="342"/>
      <c r="S64" s="342" t="s">
        <v>28</v>
      </c>
      <c r="T64" s="342" t="s">
        <v>28</v>
      </c>
      <c r="U64" s="342"/>
      <c r="V64" s="351" t="s">
        <v>28</v>
      </c>
      <c r="W64" s="350"/>
      <c r="X64" s="342"/>
      <c r="Y64" s="342"/>
      <c r="Z64" s="342"/>
      <c r="AA64" s="342" t="s">
        <v>28</v>
      </c>
      <c r="AB64" s="342"/>
      <c r="AC64" s="342"/>
      <c r="AD64" s="342"/>
      <c r="AE64" s="342"/>
      <c r="AF64" s="351" t="s">
        <v>28</v>
      </c>
      <c r="AG64" s="339"/>
      <c r="AH64" s="331">
        <v>37214115</v>
      </c>
      <c r="AI64" s="328" t="s">
        <v>337</v>
      </c>
      <c r="AJ64" s="342" t="s">
        <v>1035</v>
      </c>
      <c r="AK64" s="133" t="s">
        <v>309</v>
      </c>
      <c r="AL64" s="134">
        <v>6</v>
      </c>
      <c r="AM64" s="134" t="s">
        <v>1017</v>
      </c>
      <c r="AN64" s="134">
        <v>28</v>
      </c>
      <c r="AO64" s="349"/>
      <c r="AP64" s="349"/>
      <c r="AQ64" s="349"/>
      <c r="AR64" s="349">
        <v>22</v>
      </c>
      <c r="AS64" s="349"/>
      <c r="AT64" s="349"/>
      <c r="AU64" s="349">
        <v>33</v>
      </c>
      <c r="AV64" s="349"/>
      <c r="AW64" s="349">
        <v>32</v>
      </c>
      <c r="AX64" s="349">
        <v>33</v>
      </c>
      <c r="AY64" s="349">
        <v>30</v>
      </c>
      <c r="AZ64" s="349">
        <v>60</v>
      </c>
      <c r="BA64" s="349">
        <v>90</v>
      </c>
      <c r="BB64" s="349">
        <f t="shared" si="2"/>
        <v>150</v>
      </c>
    </row>
    <row r="65" spans="2:54" ht="22.5" x14ac:dyDescent="0.25">
      <c r="B65" s="318">
        <v>37214119</v>
      </c>
      <c r="C65" s="328" t="s">
        <v>346</v>
      </c>
      <c r="D65" s="134">
        <v>6</v>
      </c>
      <c r="E65" s="342" t="s">
        <v>1035</v>
      </c>
      <c r="F65" s="350"/>
      <c r="G65" s="342" t="s">
        <v>28</v>
      </c>
      <c r="H65" s="342"/>
      <c r="I65" s="342"/>
      <c r="J65" s="342"/>
      <c r="K65" s="342"/>
      <c r="L65" s="342"/>
      <c r="M65" s="342" t="s">
        <v>28</v>
      </c>
      <c r="N65" s="342"/>
      <c r="O65" s="342"/>
      <c r="P65" s="342"/>
      <c r="Q65" s="342"/>
      <c r="R65" s="342"/>
      <c r="S65" s="342" t="s">
        <v>28</v>
      </c>
      <c r="T65" s="342" t="s">
        <v>28</v>
      </c>
      <c r="U65" s="342"/>
      <c r="V65" s="351" t="s">
        <v>28</v>
      </c>
      <c r="W65" s="350"/>
      <c r="X65" s="342"/>
      <c r="Y65" s="342"/>
      <c r="Z65" s="342"/>
      <c r="AA65" s="342"/>
      <c r="AB65" s="342" t="s">
        <v>28</v>
      </c>
      <c r="AC65" s="342"/>
      <c r="AD65" s="342"/>
      <c r="AE65" s="342"/>
      <c r="AF65" s="351" t="s">
        <v>28</v>
      </c>
      <c r="AG65" s="339"/>
      <c r="AH65" s="331">
        <v>37214119</v>
      </c>
      <c r="AI65" s="328" t="s">
        <v>346</v>
      </c>
      <c r="AJ65" s="342" t="s">
        <v>1035</v>
      </c>
      <c r="AK65" s="133" t="s">
        <v>309</v>
      </c>
      <c r="AL65" s="134">
        <v>6</v>
      </c>
      <c r="AM65" s="134" t="s">
        <v>1017</v>
      </c>
      <c r="AN65" s="134">
        <v>28</v>
      </c>
      <c r="AO65" s="349"/>
      <c r="AP65" s="349"/>
      <c r="AQ65" s="349"/>
      <c r="AR65" s="349"/>
      <c r="AS65" s="349"/>
      <c r="AT65" s="349"/>
      <c r="AU65" s="349">
        <v>24</v>
      </c>
      <c r="AV65" s="349"/>
      <c r="AW65" s="349"/>
      <c r="AX65" s="349">
        <v>30</v>
      </c>
      <c r="AY65" s="349">
        <v>96</v>
      </c>
      <c r="AZ65" s="349">
        <v>60</v>
      </c>
      <c r="BA65" s="349">
        <v>90</v>
      </c>
      <c r="BB65" s="349">
        <f t="shared" si="2"/>
        <v>150</v>
      </c>
    </row>
    <row r="66" spans="2:54" ht="54" x14ac:dyDescent="0.25">
      <c r="B66" s="318">
        <v>37214120</v>
      </c>
      <c r="C66" s="328" t="s">
        <v>616</v>
      </c>
      <c r="D66" s="134">
        <v>6</v>
      </c>
      <c r="E66" s="342" t="s">
        <v>1035</v>
      </c>
      <c r="F66" s="350"/>
      <c r="G66" s="342"/>
      <c r="H66" s="342"/>
      <c r="I66" s="342"/>
      <c r="J66" s="342"/>
      <c r="K66" s="342"/>
      <c r="L66" s="342"/>
      <c r="M66" s="342"/>
      <c r="N66" s="342" t="s">
        <v>28</v>
      </c>
      <c r="O66" s="342"/>
      <c r="P66" s="342"/>
      <c r="Q66" s="342"/>
      <c r="R66" s="342"/>
      <c r="S66" s="342"/>
      <c r="T66" s="342" t="s">
        <v>28</v>
      </c>
      <c r="U66" s="342" t="s">
        <v>28</v>
      </c>
      <c r="V66" s="351" t="s">
        <v>28</v>
      </c>
      <c r="W66" s="350"/>
      <c r="X66" s="342"/>
      <c r="Y66" s="342"/>
      <c r="Z66" s="342"/>
      <c r="AA66" s="342" t="s">
        <v>28</v>
      </c>
      <c r="AB66" s="342"/>
      <c r="AC66" s="342"/>
      <c r="AD66" s="342"/>
      <c r="AE66" s="342"/>
      <c r="AF66" s="351" t="s">
        <v>28</v>
      </c>
      <c r="AG66" s="339"/>
      <c r="AH66" s="331">
        <v>37214120</v>
      </c>
      <c r="AI66" s="328" t="s">
        <v>616</v>
      </c>
      <c r="AJ66" s="342" t="s">
        <v>1035</v>
      </c>
      <c r="AK66" s="133" t="s">
        <v>309</v>
      </c>
      <c r="AL66" s="134">
        <v>6</v>
      </c>
      <c r="AM66" s="134" t="s">
        <v>1017</v>
      </c>
      <c r="AN66" s="134">
        <v>27</v>
      </c>
      <c r="AO66" s="349"/>
      <c r="AP66" s="349"/>
      <c r="AQ66" s="349"/>
      <c r="AR66" s="349">
        <v>42</v>
      </c>
      <c r="AS66" s="349"/>
      <c r="AT66" s="349"/>
      <c r="AU66" s="349">
        <v>22</v>
      </c>
      <c r="AV66" s="349"/>
      <c r="AW66" s="349">
        <v>66</v>
      </c>
      <c r="AX66" s="349"/>
      <c r="AY66" s="349">
        <v>20</v>
      </c>
      <c r="AZ66" s="349">
        <v>60</v>
      </c>
      <c r="BA66" s="349">
        <v>90</v>
      </c>
      <c r="BB66" s="349">
        <f t="shared" si="2"/>
        <v>150</v>
      </c>
    </row>
    <row r="67" spans="2:54" ht="33" x14ac:dyDescent="0.25">
      <c r="B67" s="318">
        <v>37214201</v>
      </c>
      <c r="C67" s="328" t="s">
        <v>617</v>
      </c>
      <c r="D67" s="134">
        <v>6</v>
      </c>
      <c r="E67" s="342" t="s">
        <v>1035</v>
      </c>
      <c r="F67" s="350" t="s">
        <v>28</v>
      </c>
      <c r="G67" s="342"/>
      <c r="H67" s="342"/>
      <c r="I67" s="342"/>
      <c r="J67" s="342" t="s">
        <v>28</v>
      </c>
      <c r="K67" s="342"/>
      <c r="L67" s="342"/>
      <c r="M67" s="342" t="s">
        <v>28</v>
      </c>
      <c r="N67" s="342" t="s">
        <v>28</v>
      </c>
      <c r="O67" s="342"/>
      <c r="P67" s="342"/>
      <c r="Q67" s="342" t="s">
        <v>28</v>
      </c>
      <c r="R67" s="342"/>
      <c r="S67" s="342" t="s">
        <v>28</v>
      </c>
      <c r="T67" s="342" t="s">
        <v>28</v>
      </c>
      <c r="U67" s="342"/>
      <c r="V67" s="351" t="s">
        <v>28</v>
      </c>
      <c r="W67" s="350"/>
      <c r="X67" s="342"/>
      <c r="Y67" s="342"/>
      <c r="Z67" s="342"/>
      <c r="AA67" s="342"/>
      <c r="AB67" s="342" t="s">
        <v>28</v>
      </c>
      <c r="AC67" s="342"/>
      <c r="AD67" s="342" t="s">
        <v>28</v>
      </c>
      <c r="AE67" s="342"/>
      <c r="AF67" s="351" t="s">
        <v>28</v>
      </c>
      <c r="AG67" s="339"/>
      <c r="AH67" s="331">
        <v>37214201</v>
      </c>
      <c r="AI67" s="328" t="s">
        <v>617</v>
      </c>
      <c r="AJ67" s="342" t="s">
        <v>1035</v>
      </c>
      <c r="AK67" s="133" t="s">
        <v>353</v>
      </c>
      <c r="AL67" s="134">
        <v>6</v>
      </c>
      <c r="AM67" s="134" t="s">
        <v>992</v>
      </c>
      <c r="AN67" s="134">
        <v>12</v>
      </c>
      <c r="AO67" s="349"/>
      <c r="AP67" s="349"/>
      <c r="AQ67" s="349"/>
      <c r="AR67" s="349">
        <v>35</v>
      </c>
      <c r="AS67" s="349">
        <v>25</v>
      </c>
      <c r="AT67" s="349">
        <v>20</v>
      </c>
      <c r="AU67" s="349">
        <v>20</v>
      </c>
      <c r="AV67" s="349"/>
      <c r="AW67" s="349">
        <v>30</v>
      </c>
      <c r="AX67" s="349"/>
      <c r="AY67" s="349">
        <v>20</v>
      </c>
      <c r="AZ67" s="349">
        <v>55</v>
      </c>
      <c r="BA67" s="349">
        <v>95</v>
      </c>
      <c r="BB67" s="349">
        <f t="shared" si="2"/>
        <v>150</v>
      </c>
    </row>
    <row r="68" spans="2:54" ht="43.5" x14ac:dyDescent="0.25">
      <c r="B68" s="318">
        <v>37214202</v>
      </c>
      <c r="C68" s="328" t="s">
        <v>1078</v>
      </c>
      <c r="D68" s="134">
        <v>6</v>
      </c>
      <c r="E68" s="342" t="s">
        <v>1035</v>
      </c>
      <c r="F68" s="350"/>
      <c r="G68" s="342"/>
      <c r="H68" s="342"/>
      <c r="I68" s="342"/>
      <c r="J68" s="342"/>
      <c r="K68" s="342"/>
      <c r="L68" s="342"/>
      <c r="M68" s="342"/>
      <c r="N68" s="342" t="s">
        <v>28</v>
      </c>
      <c r="O68" s="342"/>
      <c r="P68" s="342"/>
      <c r="Q68" s="342"/>
      <c r="R68" s="342"/>
      <c r="S68" s="342"/>
      <c r="T68" s="342" t="s">
        <v>28</v>
      </c>
      <c r="U68" s="342"/>
      <c r="V68" s="351" t="s">
        <v>28</v>
      </c>
      <c r="W68" s="350"/>
      <c r="X68" s="342"/>
      <c r="Y68" s="342" t="s">
        <v>28</v>
      </c>
      <c r="Z68" s="342"/>
      <c r="AA68" s="342"/>
      <c r="AB68" s="342"/>
      <c r="AC68" s="342" t="s">
        <v>28</v>
      </c>
      <c r="AD68" s="342" t="s">
        <v>28</v>
      </c>
      <c r="AE68" s="342"/>
      <c r="AF68" s="351"/>
      <c r="AG68" s="339"/>
      <c r="AH68" s="331">
        <v>37214202</v>
      </c>
      <c r="AI68" s="328" t="s">
        <v>1078</v>
      </c>
      <c r="AJ68" s="342" t="s">
        <v>1035</v>
      </c>
      <c r="AK68" s="133" t="s">
        <v>353</v>
      </c>
      <c r="AL68" s="134">
        <v>6</v>
      </c>
      <c r="AM68" s="134" t="s">
        <v>992</v>
      </c>
      <c r="AN68" s="134">
        <v>18</v>
      </c>
      <c r="AO68" s="349"/>
      <c r="AP68" s="349"/>
      <c r="AQ68" s="349"/>
      <c r="AR68" s="349"/>
      <c r="AS68" s="349">
        <v>67</v>
      </c>
      <c r="AT68" s="349">
        <v>11</v>
      </c>
      <c r="AU68" s="349">
        <v>11</v>
      </c>
      <c r="AV68" s="349">
        <v>6</v>
      </c>
      <c r="AW68" s="349"/>
      <c r="AX68" s="349"/>
      <c r="AY68" s="349">
        <v>55</v>
      </c>
      <c r="AZ68" s="349">
        <v>60</v>
      </c>
      <c r="BA68" s="349">
        <v>90</v>
      </c>
      <c r="BB68" s="349">
        <f t="shared" si="2"/>
        <v>150</v>
      </c>
    </row>
    <row r="69" spans="2:54" ht="43.5" x14ac:dyDescent="0.25">
      <c r="B69" s="318">
        <v>37214203</v>
      </c>
      <c r="C69" s="328" t="s">
        <v>619</v>
      </c>
      <c r="D69" s="134">
        <v>6</v>
      </c>
      <c r="E69" s="342" t="s">
        <v>1035</v>
      </c>
      <c r="F69" s="350"/>
      <c r="G69" s="342"/>
      <c r="H69" s="342"/>
      <c r="I69" s="342"/>
      <c r="J69" s="342" t="s">
        <v>28</v>
      </c>
      <c r="K69" s="342"/>
      <c r="L69" s="342"/>
      <c r="M69" s="342" t="s">
        <v>28</v>
      </c>
      <c r="N69" s="342" t="s">
        <v>28</v>
      </c>
      <c r="O69" s="342"/>
      <c r="P69" s="342"/>
      <c r="Q69" s="342"/>
      <c r="R69" s="342"/>
      <c r="S69" s="342" t="s">
        <v>28</v>
      </c>
      <c r="T69" s="342" t="s">
        <v>28</v>
      </c>
      <c r="U69" s="342"/>
      <c r="V69" s="351" t="s">
        <v>28</v>
      </c>
      <c r="W69" s="350"/>
      <c r="X69" s="342"/>
      <c r="Y69" s="342"/>
      <c r="Z69" s="342"/>
      <c r="AA69" s="342" t="s">
        <v>28</v>
      </c>
      <c r="AB69" s="342"/>
      <c r="AC69" s="342"/>
      <c r="AD69" s="342" t="s">
        <v>28</v>
      </c>
      <c r="AE69" s="342"/>
      <c r="AF69" s="351" t="s">
        <v>28</v>
      </c>
      <c r="AG69" s="339"/>
      <c r="AH69" s="331">
        <v>37214203</v>
      </c>
      <c r="AI69" s="328" t="s">
        <v>619</v>
      </c>
      <c r="AJ69" s="342" t="s">
        <v>1035</v>
      </c>
      <c r="AK69" s="133" t="s">
        <v>353</v>
      </c>
      <c r="AL69" s="134">
        <v>6</v>
      </c>
      <c r="AM69" s="134" t="s">
        <v>992</v>
      </c>
      <c r="AN69" s="134">
        <v>23</v>
      </c>
      <c r="AO69" s="349"/>
      <c r="AP69" s="349"/>
      <c r="AQ69" s="349"/>
      <c r="AR69" s="349">
        <v>25</v>
      </c>
      <c r="AS69" s="349">
        <v>50</v>
      </c>
      <c r="AT69" s="349"/>
      <c r="AU69" s="349">
        <v>5</v>
      </c>
      <c r="AV69" s="349"/>
      <c r="AW69" s="349">
        <v>25</v>
      </c>
      <c r="AX69" s="349">
        <v>45</v>
      </c>
      <c r="AY69" s="349"/>
      <c r="AZ69" s="349">
        <v>55</v>
      </c>
      <c r="BA69" s="349">
        <v>95</v>
      </c>
      <c r="BB69" s="349">
        <f t="shared" si="2"/>
        <v>150</v>
      </c>
    </row>
    <row r="70" spans="2:54" ht="33" x14ac:dyDescent="0.25">
      <c r="B70" s="318">
        <v>37214204</v>
      </c>
      <c r="C70" s="328" t="s">
        <v>1079</v>
      </c>
      <c r="D70" s="134">
        <v>6</v>
      </c>
      <c r="E70" s="342" t="s">
        <v>1035</v>
      </c>
      <c r="F70" s="367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  <c r="R70" s="368"/>
      <c r="S70" s="368"/>
      <c r="T70" s="368"/>
      <c r="U70" s="368"/>
      <c r="V70" s="369"/>
      <c r="W70" s="367"/>
      <c r="X70" s="368"/>
      <c r="Y70" s="368"/>
      <c r="Z70" s="368"/>
      <c r="AA70" s="368"/>
      <c r="AB70" s="368"/>
      <c r="AC70" s="368"/>
      <c r="AD70" s="368"/>
      <c r="AE70" s="368"/>
      <c r="AF70" s="369"/>
      <c r="AG70" s="339"/>
      <c r="AH70" s="335">
        <v>37214204</v>
      </c>
      <c r="AI70" s="336" t="s">
        <v>1079</v>
      </c>
      <c r="AJ70" s="368" t="s">
        <v>1035</v>
      </c>
      <c r="AK70" s="337" t="s">
        <v>353</v>
      </c>
      <c r="AL70" s="338">
        <v>6</v>
      </c>
      <c r="AM70" s="338" t="s">
        <v>992</v>
      </c>
      <c r="AN70" s="338">
        <v>0</v>
      </c>
      <c r="AO70" s="370"/>
      <c r="AP70" s="370"/>
      <c r="AQ70" s="370"/>
      <c r="AR70" s="370"/>
      <c r="AS70" s="370"/>
      <c r="AT70" s="370"/>
      <c r="AU70" s="370"/>
      <c r="AV70" s="370"/>
      <c r="AW70" s="370"/>
      <c r="AX70" s="370"/>
      <c r="AY70" s="370"/>
      <c r="AZ70" s="370"/>
      <c r="BA70" s="370"/>
      <c r="BB70" s="370"/>
    </row>
    <row r="71" spans="2:54" ht="22.5" x14ac:dyDescent="0.25">
      <c r="B71" s="318">
        <v>37214401</v>
      </c>
      <c r="C71" s="328" t="s">
        <v>358</v>
      </c>
      <c r="D71" s="134">
        <v>12</v>
      </c>
      <c r="E71" s="342" t="s">
        <v>1035</v>
      </c>
      <c r="F71" s="350" t="s">
        <v>28</v>
      </c>
      <c r="G71" s="342"/>
      <c r="H71" s="342"/>
      <c r="I71" s="342" t="s">
        <v>28</v>
      </c>
      <c r="J71" s="342"/>
      <c r="K71" s="342"/>
      <c r="L71" s="342"/>
      <c r="M71" s="342"/>
      <c r="N71" s="342"/>
      <c r="O71" s="342"/>
      <c r="P71" s="342"/>
      <c r="Q71" s="342"/>
      <c r="R71" s="342"/>
      <c r="S71" s="342"/>
      <c r="T71" s="342"/>
      <c r="U71" s="342"/>
      <c r="V71" s="351"/>
      <c r="W71" s="350" t="s">
        <v>28</v>
      </c>
      <c r="X71" s="342" t="s">
        <v>28</v>
      </c>
      <c r="Y71" s="342"/>
      <c r="Z71" s="342"/>
      <c r="AA71" s="342"/>
      <c r="AB71" s="342"/>
      <c r="AC71" s="342"/>
      <c r="AD71" s="342"/>
      <c r="AE71" s="342"/>
      <c r="AF71" s="351"/>
      <c r="AG71" s="339"/>
      <c r="AH71" s="331">
        <v>37214401</v>
      </c>
      <c r="AI71" s="328" t="s">
        <v>358</v>
      </c>
      <c r="AJ71" s="342" t="s">
        <v>1035</v>
      </c>
      <c r="AK71" s="133" t="s">
        <v>309</v>
      </c>
      <c r="AL71" s="134">
        <v>12</v>
      </c>
      <c r="AM71" s="134" t="s">
        <v>992</v>
      </c>
      <c r="AN71" s="134">
        <v>26</v>
      </c>
      <c r="AO71" s="371"/>
      <c r="AP71" s="371"/>
      <c r="AQ71" s="371"/>
      <c r="AR71" s="371"/>
      <c r="AS71" s="371"/>
      <c r="AT71" s="371"/>
      <c r="AU71" s="371"/>
      <c r="AV71" s="371"/>
      <c r="AW71" s="371"/>
      <c r="AX71" s="371"/>
      <c r="AY71" s="371"/>
      <c r="AZ71" s="371"/>
      <c r="BA71" s="371"/>
      <c r="BB71" s="371"/>
    </row>
    <row r="72" spans="2:54" ht="22.5" x14ac:dyDescent="0.25">
      <c r="B72" s="318">
        <v>37214301</v>
      </c>
      <c r="C72" s="328" t="s">
        <v>622</v>
      </c>
      <c r="D72" s="134">
        <v>12</v>
      </c>
      <c r="E72" s="342" t="s">
        <v>1035</v>
      </c>
      <c r="F72" s="350" t="s">
        <v>28</v>
      </c>
      <c r="G72" s="342"/>
      <c r="H72" s="342"/>
      <c r="I72" s="342"/>
      <c r="J72" s="342"/>
      <c r="K72" s="342"/>
      <c r="L72" s="342"/>
      <c r="M72" s="342"/>
      <c r="N72" s="342"/>
      <c r="O72" s="342"/>
      <c r="P72" s="342"/>
      <c r="Q72" s="342"/>
      <c r="R72" s="342"/>
      <c r="S72" s="342" t="s">
        <v>28</v>
      </c>
      <c r="T72" s="342"/>
      <c r="U72" s="342"/>
      <c r="V72" s="351"/>
      <c r="W72" s="350"/>
      <c r="X72" s="342"/>
      <c r="Y72" s="342"/>
      <c r="Z72" s="342"/>
      <c r="AA72" s="342"/>
      <c r="AB72" s="342"/>
      <c r="AC72" s="342"/>
      <c r="AD72" s="342"/>
      <c r="AE72" s="342" t="s">
        <v>28</v>
      </c>
      <c r="AF72" s="351"/>
      <c r="AG72" s="339"/>
      <c r="AH72" s="331">
        <v>37214301</v>
      </c>
      <c r="AI72" s="328" t="s">
        <v>622</v>
      </c>
      <c r="AJ72" s="342" t="s">
        <v>1035</v>
      </c>
      <c r="AK72" s="133" t="s">
        <v>309</v>
      </c>
      <c r="AL72" s="134">
        <v>12</v>
      </c>
      <c r="AM72" s="134" t="s">
        <v>1017</v>
      </c>
      <c r="AN72" s="134">
        <v>27</v>
      </c>
      <c r="AO72" s="371"/>
      <c r="AP72" s="371"/>
      <c r="AQ72" s="371"/>
      <c r="AR72" s="371"/>
      <c r="AS72" s="371"/>
      <c r="AT72" s="371"/>
      <c r="AU72" s="371"/>
      <c r="AV72" s="371"/>
      <c r="AW72" s="371"/>
      <c r="AX72" s="371"/>
      <c r="AY72" s="371"/>
      <c r="AZ72" s="371"/>
      <c r="BA72" s="371"/>
      <c r="BB72" s="371"/>
    </row>
    <row r="73" spans="2:54" ht="33.75" thickBot="1" x14ac:dyDescent="0.3">
      <c r="B73" s="372" t="s">
        <v>1080</v>
      </c>
      <c r="C73" s="339"/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39"/>
      <c r="Z73" s="339"/>
      <c r="AA73" s="339"/>
      <c r="AB73" s="339"/>
      <c r="AC73" s="339"/>
      <c r="AD73" s="339"/>
      <c r="AE73" s="339"/>
      <c r="AF73" s="339"/>
      <c r="AG73" s="339"/>
      <c r="AH73" s="339"/>
      <c r="AI73" s="339"/>
      <c r="AJ73" s="339"/>
      <c r="AK73" s="339"/>
      <c r="AL73" s="339"/>
      <c r="AM73" s="339"/>
      <c r="AN73" s="339"/>
      <c r="AO73" s="339"/>
      <c r="AP73" s="339"/>
      <c r="AQ73" s="339"/>
      <c r="AR73" s="339"/>
      <c r="AS73" s="339"/>
      <c r="AT73" s="339"/>
      <c r="AU73" s="339"/>
      <c r="AV73" s="339"/>
      <c r="AW73" s="339"/>
      <c r="AX73" s="339"/>
      <c r="AY73" s="339"/>
      <c r="AZ73" s="373">
        <f>SUM(AZ63:AZ72)</f>
        <v>414</v>
      </c>
      <c r="BA73" s="373">
        <f>SUM(BA63:BA72)</f>
        <v>636</v>
      </c>
      <c r="BB73" s="373">
        <f>SUM(BB63:BB72)</f>
        <v>1050</v>
      </c>
    </row>
    <row r="74" spans="2:54" ht="33.75" thickBot="1" x14ac:dyDescent="0.3">
      <c r="B74" s="372" t="s">
        <v>80</v>
      </c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39"/>
      <c r="AL74" s="339"/>
      <c r="AM74" s="339"/>
      <c r="AN74" s="339"/>
      <c r="AO74" s="339"/>
      <c r="AP74" s="339"/>
      <c r="AQ74" s="339"/>
      <c r="AR74" s="339"/>
      <c r="AS74" s="339"/>
      <c r="AT74" s="339"/>
      <c r="AU74" s="339"/>
      <c r="AV74" s="339"/>
      <c r="AW74" s="339"/>
      <c r="AX74" s="339"/>
      <c r="AY74" s="339"/>
      <c r="AZ74" s="363">
        <f>AZ73/BB73</f>
        <v>0.39428571428571429</v>
      </c>
      <c r="BA74" s="363">
        <f>BA73/BB73</f>
        <v>0.60571428571428576</v>
      </c>
      <c r="BB74" s="363">
        <f>BB73/BB73</f>
        <v>1</v>
      </c>
    </row>
  </sheetData>
  <mergeCells count="12">
    <mergeCell ref="F61:V61"/>
    <mergeCell ref="W61:AF61"/>
    <mergeCell ref="AO61:BB61"/>
    <mergeCell ref="F12:V12"/>
    <mergeCell ref="W12:AF12"/>
    <mergeCell ref="AO12:BB12"/>
    <mergeCell ref="F28:V28"/>
    <mergeCell ref="W28:AF28"/>
    <mergeCell ref="AO28:BB28"/>
    <mergeCell ref="F44:V44"/>
    <mergeCell ref="W44:AF44"/>
    <mergeCell ref="AO44:BB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Presentació</vt:lpstr>
      <vt:lpstr>Estàndard 1</vt:lpstr>
      <vt:lpstr>Estàndard 2</vt:lpstr>
      <vt:lpstr>Estàndard 3</vt:lpstr>
      <vt:lpstr>Estàndard 4</vt:lpstr>
      <vt:lpstr>Estàndard 5</vt:lpstr>
      <vt:lpstr>Estàndard 6</vt:lpstr>
      <vt:lpstr>Taula 42.1 FISIO</vt:lpstr>
      <vt:lpstr>Taula 42.2 CAFE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Euses</dc:creator>
  <cp:lastModifiedBy>Euses</cp:lastModifiedBy>
  <dcterms:created xsi:type="dcterms:W3CDTF">2021-05-19T13:33:11Z</dcterms:created>
  <dcterms:modified xsi:type="dcterms:W3CDTF">2021-06-16T08:00:33Z</dcterms:modified>
</cp:coreProperties>
</file>